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1355" windowHeight="8520"/>
  </bookViews>
  <sheets>
    <sheet name="Calculator &amp; Graphs" sheetId="1" r:id="rId1"/>
    <sheet name="Description" sheetId="2" r:id="rId2"/>
    <sheet name="Derivation SPI(t)r" sheetId="3" r:id="rId3"/>
  </sheets>
  <definedNames>
    <definedName name="_xlnm.Print_Area" localSheetId="0">'Calculator &amp; Graphs'!$A$1:$K$237</definedName>
  </definedNames>
  <calcPr calcId="145621"/>
</workbook>
</file>

<file path=xl/calcChain.xml><?xml version="1.0" encoding="utf-8"?>
<calcChain xmlns="http://schemas.openxmlformats.org/spreadsheetml/2006/main">
  <c r="H11" i="1" l="1"/>
  <c r="C3" i="1" l="1"/>
  <c r="I11" i="1" l="1"/>
  <c r="C4" i="1" l="1"/>
  <c r="C5" i="1" s="1"/>
  <c r="C6" i="1" s="1"/>
  <c r="C7" i="1" s="1"/>
  <c r="D4" i="1"/>
  <c r="H3" i="1"/>
  <c r="D6" i="1"/>
  <c r="D7" i="1"/>
  <c r="D8" i="1"/>
  <c r="D9" i="1"/>
  <c r="D10" i="1"/>
  <c r="D11" i="1"/>
  <c r="D12" i="1"/>
  <c r="D13" i="1"/>
  <c r="D14" i="1"/>
  <c r="D5" i="1"/>
  <c r="A3" i="1" l="1"/>
  <c r="H13" i="1" s="1"/>
  <c r="H14" i="1" s="1"/>
  <c r="B4" i="1"/>
  <c r="B7" i="1"/>
  <c r="C8" i="1"/>
  <c r="C9" i="1" s="1"/>
  <c r="B5" i="1"/>
  <c r="B6" i="1"/>
  <c r="H12" i="1" l="1"/>
  <c r="H9" i="1"/>
  <c r="B8" i="1"/>
  <c r="B9" i="1"/>
  <c r="C10" i="1"/>
  <c r="I12" i="1" l="1"/>
  <c r="C11" i="1"/>
  <c r="B10" i="1"/>
  <c r="L3" i="1" l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C12" i="1"/>
  <c r="B11" i="1"/>
  <c r="L4" i="1" l="1"/>
  <c r="I14" i="1" s="1"/>
  <c r="L5" i="1"/>
  <c r="C13" i="1"/>
  <c r="B12" i="1"/>
  <c r="L6" i="1" l="1"/>
  <c r="B13" i="1"/>
  <c r="C14" i="1"/>
  <c r="L7" i="1" l="1"/>
  <c r="G3" i="1"/>
  <c r="B14" i="1"/>
  <c r="L8" i="1" l="1"/>
  <c r="L9" i="1" l="1"/>
  <c r="L10" i="1" l="1"/>
  <c r="L11" i="1" l="1"/>
  <c r="L12" i="1" l="1"/>
  <c r="L13" i="1" l="1"/>
  <c r="L14" i="1" l="1"/>
  <c r="L15" i="1" l="1"/>
  <c r="L16" i="1" l="1"/>
  <c r="L17" i="1" l="1"/>
  <c r="L18" i="1" l="1"/>
  <c r="L19" i="1" l="1"/>
  <c r="L20" i="1" l="1"/>
  <c r="L21" i="1" l="1"/>
  <c r="L22" i="1" l="1"/>
  <c r="L23" i="1" l="1"/>
  <c r="L24" i="1" l="1"/>
  <c r="L25" i="1" l="1"/>
  <c r="L26" i="1" l="1"/>
  <c r="L27" i="1" l="1"/>
  <c r="L28" i="1" l="1"/>
  <c r="L29" i="1" l="1"/>
  <c r="L30" i="1" l="1"/>
  <c r="L31" i="1" l="1"/>
  <c r="L32" i="1" l="1"/>
  <c r="L33" i="1" l="1"/>
  <c r="L35" i="1" l="1"/>
  <c r="L34" i="1"/>
</calcChain>
</file>

<file path=xl/sharedStrings.xml><?xml version="1.0" encoding="utf-8"?>
<sst xmlns="http://schemas.openxmlformats.org/spreadsheetml/2006/main" count="120" uniqueCount="118">
  <si>
    <t>.</t>
  </si>
  <si>
    <t>Threshold</t>
  </si>
  <si>
    <t>Instruction</t>
  </si>
  <si>
    <t xml:space="preserve">Two graphs are shown on the Calculator &amp; Graphs sheet. The graphs use different y-axis scaling.   </t>
  </si>
  <si>
    <t xml:space="preserve">observe this crossing is useful in that a project manager can make a determination of the project's  </t>
  </si>
  <si>
    <t xml:space="preserve">graph on the right has considerably larger range, from -4.0 to + 8.0. </t>
  </si>
  <si>
    <t>C</t>
  </si>
  <si>
    <t>TSPI</t>
  </si>
  <si>
    <t>SPI(t)</t>
  </si>
  <si>
    <t>IEAC(t)</t>
  </si>
  <si>
    <t>PD</t>
  </si>
  <si>
    <t>The graph on the left has a scale for the SPI(t) index beginning at 0.7 and concluding at 1.3. The</t>
  </si>
  <si>
    <t>The graph on the left provides a more detailed view of the TSPI behavior. It can be seen from this</t>
  </si>
  <si>
    <t xml:space="preserve">The left graph clearly shows the point at which TSPI exceeds the threshold of 1.1. Being able to </t>
  </si>
  <si>
    <t>ED</t>
  </si>
  <si>
    <t>ED/PD</t>
  </si>
  <si>
    <t xml:space="preserve">performance which cannot achieve the ED. As the fraction complete increases, the TSPI will first  </t>
  </si>
  <si>
    <t>increase to a high positive value. After reaching a peak positive value, TSPI rapidly decreases and</t>
  </si>
  <si>
    <t>becomes negative. As the fraction complete approaches 1.0, TSPI approaches zero and concludes</t>
  </si>
  <si>
    <t>duration; without added time, the project will complete at an actual duration in excess of ED.</t>
  </si>
  <si>
    <t xml:space="preserve">at 0.0 when C = 1.0. Having a negative value for TSPI indicates a requirement for additional </t>
  </si>
  <si>
    <t>ES =</t>
  </si>
  <si>
    <t>Window =</t>
  </si>
  <si>
    <t>chance for successful completion within the desired or estimated duration. For example, using</t>
  </si>
  <si>
    <t>Prediction Analysis Calculator</t>
  </si>
  <si>
    <t xml:space="preserve">recovery and achievement of ED becomes extremely unlikely. A negative value  </t>
  </si>
  <si>
    <t>for TSPI is an indication that ED is exceeded at the corresponding schedule</t>
  </si>
  <si>
    <t>fraction complete (C = ES/PD) of the project. The value of C (&lt; 1) at which TSPI</t>
  </si>
  <si>
    <t>equals the threshold value, 1.100, is displayed in the gold colored cell in the C</t>
  </si>
  <si>
    <t>the right of "Window =." Other than C, abbreviations are from ES terminology.</t>
  </si>
  <si>
    <t>column. The opportunity for project recovery, as a fraction of PD, is in the cell at</t>
  </si>
  <si>
    <t>The two graphs are useful for different purposes. The graph on the right provides an overview of the</t>
  </si>
  <si>
    <t>% Change</t>
  </si>
  <si>
    <t>Improvement Period</t>
  </si>
  <si>
    <t>Derivation of SPI(t)r</t>
  </si>
  <si>
    <t>C1</t>
  </si>
  <si>
    <t>S = SPI(t)</t>
  </si>
  <si>
    <t>R = SPI(t)r</t>
  </si>
  <si>
    <t>C2</t>
  </si>
  <si>
    <t>Area 1</t>
  </si>
  <si>
    <t>Area 2</t>
  </si>
  <si>
    <t>Area 3</t>
  </si>
  <si>
    <t>T = TSPI</t>
  </si>
  <si>
    <t>Derivation:</t>
  </si>
  <si>
    <t>Adding Areas 2 &amp; 3: (R - S) x [(C2 - C1)/2 + (1 - C2)]  =  (R - S) x [1 - (C1 + C2)/2]</t>
  </si>
  <si>
    <t xml:space="preserve">Thus, </t>
  </si>
  <si>
    <t>T x (1.00 - C1) = S x (1.00 - C1) + (R - S) x [1 - (C1 + C2)/2]</t>
  </si>
  <si>
    <t>(T - S) x (1.00 - C1) = (R - S) x [1 - (C1 + C2)/2]</t>
  </si>
  <si>
    <t>Solve for R</t>
  </si>
  <si>
    <t>R = (T - S) x [(1 - C1) / (1 - (C1 + C2)/2 ] + S</t>
  </si>
  <si>
    <t>P = C2 - C1</t>
  </si>
  <si>
    <t>(assuming linear improvement from C1 to C2)</t>
  </si>
  <si>
    <t>AT =</t>
  </si>
  <si>
    <t>TSPI =</t>
  </si>
  <si>
    <t>SPI(t)r =</t>
  </si>
  <si>
    <t xml:space="preserve">      Improvement Period =</t>
  </si>
  <si>
    <t>Numerator =</t>
  </si>
  <si>
    <t>Denominator =</t>
  </si>
  <si>
    <t>Area T</t>
  </si>
  <si>
    <t xml:space="preserve">Area T = Area 1 + Area 2 + Area 3 </t>
  </si>
  <si>
    <r>
      <t>Area T = T x</t>
    </r>
    <r>
      <rPr>
        <sz val="10"/>
        <rFont val="Symbol"/>
        <family val="1"/>
        <charset val="2"/>
      </rPr>
      <t xml:space="preserve"> (1.00 - </t>
    </r>
    <r>
      <rPr>
        <sz val="10"/>
        <rFont val="Arial"/>
        <family val="2"/>
      </rPr>
      <t>C</t>
    </r>
    <r>
      <rPr>
        <sz val="10"/>
        <rFont val="Symbol"/>
        <family val="1"/>
        <charset val="2"/>
      </rPr>
      <t>1)</t>
    </r>
  </si>
  <si>
    <t>Area 3 = (R - S) x (1 - C2)</t>
  </si>
  <si>
    <t>Area 2 = (R - S)/2 x (C2 - C1)</t>
  </si>
  <si>
    <t>Area 1 = S x (1.00 - C1)</t>
  </si>
  <si>
    <t xml:space="preserve">is not possible when the increase exceeds 10%. However, there is evidence that </t>
  </si>
  <si>
    <r>
      <rPr>
        <b/>
        <sz val="10"/>
        <rFont val="Arial"/>
        <family val="2"/>
      </rPr>
      <t>Note:</t>
    </r>
    <r>
      <rPr>
        <sz val="10"/>
        <rFont val="Arial"/>
      </rPr>
      <t xml:space="preserve"> Historically, it has been assumed that improvement in performance efficiency</t>
    </r>
  </si>
  <si>
    <t>Enter values for AT, ES, PD, and ED into the tan cells. The values for AT, ES, PD,</t>
  </si>
  <si>
    <t>recovery is possible, as long as TSPI has not exceeded the threshold, 1.10.</t>
  </si>
  <si>
    <t>Certainly, a lower value for % Change makes it more likely the project can be</t>
  </si>
  <si>
    <t xml:space="preserve">column B. Where TSPI exceeds the threshold of 1.100 indicates the point at which </t>
  </si>
  <si>
    <t>and ED are in consistent units of time. Calculated values for TSPI will display in</t>
  </si>
  <si>
    <t xml:space="preserve">     Express using ED, AT, &amp; P</t>
  </si>
  <si>
    <t xml:space="preserve"> Express R using P</t>
  </si>
  <si>
    <t xml:space="preserve">The calculator may be used to determine an achievable duration by changing the </t>
  </si>
  <si>
    <t xml:space="preserve">values of ED and Improvement Period, and then re-evaluating the % Change </t>
  </si>
  <si>
    <t>Enter the number of periods over which improvement is to be made into cell H7.</t>
  </si>
  <si>
    <t>the ED entered. SPI(t)r is the efficiency after accounting for the improvement period.</t>
  </si>
  <si>
    <t>TSPI value is the efficiency needed for the remainder of the project to complete at</t>
  </si>
  <si>
    <t>When the number of periods is too large, the cell displays red. The improvement is</t>
  </si>
  <si>
    <t>from the current SPI(t) value in cell C3 to the TSPI value indicated in cell H11. The</t>
  </si>
  <si>
    <t>AT</t>
  </si>
  <si>
    <t>Improvement Profile</t>
  </si>
  <si>
    <t>recovered to ED.</t>
  </si>
  <si>
    <t>Description</t>
  </si>
  <si>
    <t xml:space="preserve">behavior of TSPI. With the example settings of SPI(t) = 0.667 and ED = 25, i.e. ED (estimated </t>
  </si>
  <si>
    <t>duration) with PD = 20, the general behavior is shown. Obviously SPI(t) is a value of schedule</t>
  </si>
  <si>
    <r>
      <t xml:space="preserve">view that there is good reason for the TSPI "rule of thumb": </t>
    </r>
    <r>
      <rPr>
        <i/>
        <sz val="10"/>
        <rFont val="Arial"/>
        <family val="2"/>
      </rPr>
      <t>When TSPI exceeds the value of 1.1 it</t>
    </r>
  </si>
  <si>
    <r>
      <rPr>
        <i/>
        <sz val="10"/>
        <rFont val="Arial"/>
        <family val="2"/>
      </rPr>
      <t>is unlikely that the project can recover and complete within the ED.</t>
    </r>
    <r>
      <rPr>
        <sz val="10"/>
        <rFont val="Arial"/>
      </rPr>
      <t xml:space="preserve"> From research, it appears to</t>
    </r>
  </si>
  <si>
    <t>in TSPI with increasing fraction complete (C) rapidly accelerates after reaching the 1.1 value.</t>
  </si>
  <si>
    <t xml:space="preserve">be a reliable indication that the project is "out of control." As can be observed, the positive change </t>
  </si>
  <si>
    <t>Recovery is possible to achieve the ED, but extremely unlikely.</t>
  </si>
  <si>
    <t>ES = 10, At = 15, PD = 20, and ED = 25, when the project is 70 percent complete TSPI = 1.50.</t>
  </si>
  <si>
    <t>A more sophisticated use of the calculator is the evaluation for having a successful schedule</t>
  </si>
  <si>
    <t>recovery. For the example entries, TSPI = 1.000 must be achieved for the remainder of the project.</t>
  </si>
  <si>
    <t>At the very beginning of  AT = 16, the schedule performance efficiency must increase from 0.667</t>
  </si>
  <si>
    <t>to 1.000, a 50% instantaneous increase. The example allows an improvement time of 7 periods. The</t>
  </si>
  <si>
    <t>An achievable recovery may be assessed by adjusting ED and the improvement period (IP). As</t>
  </si>
  <si>
    <t xml:space="preserve">well, the Improvement Profile should be assessed as to whether the rate of performance increase is </t>
  </si>
  <si>
    <t>IP Rate</t>
  </si>
  <si>
    <t>Evaluate the % Change values and Improvement Profile (IP Rate) as to the likelihood</t>
  </si>
  <si>
    <t>the improvement is achievable. Generally, realizing an efficiency increase &gt; 50% is</t>
  </si>
  <si>
    <t>doable. For example, increase ED to 27. Leaving IP = 7, the efficiency percent change is reduced</t>
  </si>
  <si>
    <t>and IP Rate numbers.</t>
  </si>
  <si>
    <t>not considered probable. An IP Rate &lt; 10% is desirable, as well.</t>
  </si>
  <si>
    <t xml:space="preserve">recovery performance efficiency, SPI(t)r, must then increase to 1.179 by period 22, as observed in </t>
  </si>
  <si>
    <t>increase of 76.9%. An increase in performance efficiency this large is not very likely.</t>
  </si>
  <si>
    <t xml:space="preserve">the Improvement Profile. The percent change from SPI(t) @ AT = 15 to SPI(t)r @ AT = 22 is an </t>
  </si>
  <si>
    <t>to  35.3%, while the needed improvement/period (IP Rate) decreased from 11% to 5%. Thus, with</t>
  </si>
  <si>
    <t>the positive change to both, % Change and IP Rate, ED = 27 is considered to be an achievable</t>
  </si>
  <si>
    <t>project duration.</t>
  </si>
  <si>
    <t>The calculator may be used for cost analysis as well. Change the headings using the following</t>
  </si>
  <si>
    <t xml:space="preserve">substitutions: TCPI for TSPI, CPI for SPI(t), BAC for PD,  EAC for ED, EV for ES, and AC for AT. </t>
  </si>
  <si>
    <t>As well, change the graph titles to TCPI. The method of application and interpretation is identical to</t>
  </si>
  <si>
    <t>that described for TSPI.</t>
  </si>
  <si>
    <t>R = (T - S) x [(1 - C1) / (1 - C1 - P/2) ] + S</t>
  </si>
  <si>
    <t>where P is the number of improvement periods</t>
  </si>
  <si>
    <t>where P is at the same scale of C1 and C2   (…# improvement periods divided by ED)</t>
  </si>
  <si>
    <t>R= (T - S) x [(ED - AT) / (ED - AT - P/2)] +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</si>
</sst>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6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b/>
      <u val="double"/>
      <sz val="10"/>
      <name val="Arial"/>
      <family val="2"/>
    </font>
    <font>
      <b/>
      <u val="double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sz val="14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969696"/>
      <name val="Arial"/>
      <family val="2"/>
    </font>
    <font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lightDown"/>
    </fill>
    <fill>
      <patternFill patternType="solid">
        <fgColor theme="6" tint="0.39997558519241921"/>
        <bgColor indexed="64"/>
      </patternFill>
    </fill>
    <fill>
      <patternFill patternType="lightUp">
        <bgColor rgb="FFFFCC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4" fontId="6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6" fillId="0" borderId="0" xfId="0" applyFont="1"/>
    <xf numFmtId="0" fontId="1" fillId="3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/>
    <xf numFmtId="0" fontId="0" fillId="13" borderId="3" xfId="0" applyFill="1" applyBorder="1"/>
    <xf numFmtId="0" fontId="0" fillId="13" borderId="4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2" fontId="0" fillId="0" borderId="0" xfId="0" applyNumberFormat="1"/>
    <xf numFmtId="0" fontId="0" fillId="0" borderId="2" xfId="0" applyBorder="1"/>
    <xf numFmtId="0" fontId="0" fillId="0" borderId="27" xfId="0" applyBorder="1"/>
    <xf numFmtId="0" fontId="0" fillId="13" borderId="27" xfId="0" applyFill="1" applyBorder="1"/>
    <xf numFmtId="0" fontId="0" fillId="13" borderId="19" xfId="0" applyFill="1" applyBorder="1"/>
    <xf numFmtId="0" fontId="0" fillId="14" borderId="26" xfId="0" applyFill="1" applyBorder="1"/>
    <xf numFmtId="0" fontId="0" fillId="14" borderId="17" xfId="0" applyFill="1" applyBorder="1"/>
    <xf numFmtId="0" fontId="0" fillId="14" borderId="9" xfId="0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0" fillId="1" borderId="3" xfId="0" applyFill="1" applyBorder="1"/>
    <xf numFmtId="0" fontId="0" fillId="1" borderId="4" xfId="0" applyFill="1" applyBorder="1"/>
    <xf numFmtId="0" fontId="0" fillId="1" borderId="5" xfId="0" applyFill="1" applyBorder="1"/>
    <xf numFmtId="0" fontId="0" fillId="1" borderId="0" xfId="0" applyFill="1" applyBorder="1"/>
    <xf numFmtId="0" fontId="0" fillId="1" borderId="7" xfId="0" applyFill="1" applyBorder="1"/>
    <xf numFmtId="0" fontId="11" fillId="0" borderId="0" xfId="0" applyFont="1"/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15" borderId="0" xfId="0" applyFill="1" applyBorder="1" applyAlignment="1">
      <alignment vertical="top"/>
    </xf>
    <xf numFmtId="0" fontId="0" fillId="15" borderId="13" xfId="0" applyFill="1" applyBorder="1" applyAlignment="1">
      <alignment vertical="top"/>
    </xf>
    <xf numFmtId="0" fontId="6" fillId="15" borderId="15" xfId="0" applyFont="1" applyFill="1" applyBorder="1" applyAlignment="1"/>
    <xf numFmtId="0" fontId="6" fillId="15" borderId="0" xfId="0" applyFont="1" applyFill="1" applyBorder="1" applyAlignment="1"/>
    <xf numFmtId="0" fontId="6" fillId="15" borderId="15" xfId="0" applyFont="1" applyFill="1" applyBorder="1"/>
    <xf numFmtId="0" fontId="0" fillId="15" borderId="0" xfId="0" applyFill="1" applyBorder="1"/>
    <xf numFmtId="0" fontId="0" fillId="15" borderId="13" xfId="0" applyFill="1" applyBorder="1"/>
    <xf numFmtId="0" fontId="0" fillId="15" borderId="15" xfId="0" applyFill="1" applyBorder="1"/>
    <xf numFmtId="164" fontId="0" fillId="9" borderId="25" xfId="0" applyNumberForma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Continuous"/>
    </xf>
    <xf numFmtId="0" fontId="0" fillId="12" borderId="0" xfId="0" applyFill="1"/>
    <xf numFmtId="0" fontId="13" fillId="12" borderId="0" xfId="0" applyFont="1" applyFill="1" applyBorder="1" applyAlignment="1">
      <alignment horizontal="center"/>
    </xf>
    <xf numFmtId="0" fontId="6" fillId="15" borderId="15" xfId="0" applyFont="1" applyFill="1" applyBorder="1" applyAlignment="1">
      <alignment vertical="top"/>
    </xf>
    <xf numFmtId="0" fontId="0" fillId="15" borderId="15" xfId="0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10" fontId="0" fillId="9" borderId="25" xfId="0" applyNumberFormat="1" applyFill="1" applyBorder="1" applyAlignment="1">
      <alignment horizontal="center"/>
    </xf>
    <xf numFmtId="0" fontId="0" fillId="0" borderId="19" xfId="0" applyBorder="1"/>
    <xf numFmtId="0" fontId="0" fillId="1" borderId="6" xfId="0" applyFill="1" applyBorder="1"/>
    <xf numFmtId="0" fontId="0" fillId="1" borderId="8" xfId="0" applyFill="1" applyBorder="1"/>
    <xf numFmtId="0" fontId="6" fillId="17" borderId="0" xfId="0" applyFont="1" applyFill="1" applyBorder="1" applyAlignment="1"/>
    <xf numFmtId="0" fontId="0" fillId="17" borderId="13" xfId="0" applyFill="1" applyBorder="1"/>
    <xf numFmtId="0" fontId="6" fillId="17" borderId="15" xfId="0" applyFont="1" applyFill="1" applyBorder="1"/>
    <xf numFmtId="0" fontId="0" fillId="17" borderId="0" xfId="0" applyFill="1" applyBorder="1"/>
    <xf numFmtId="0" fontId="0" fillId="0" borderId="0" xfId="0" applyAlignment="1">
      <alignment horizontal="left"/>
    </xf>
    <xf numFmtId="0" fontId="0" fillId="0" borderId="0" xfId="0" applyBorder="1"/>
    <xf numFmtId="0" fontId="6" fillId="12" borderId="0" xfId="0" applyFont="1" applyFill="1" applyBorder="1" applyAlignment="1"/>
    <xf numFmtId="0" fontId="0" fillId="12" borderId="16" xfId="0" applyFill="1" applyBorder="1"/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Continuous"/>
    </xf>
    <xf numFmtId="49" fontId="7" fillId="3" borderId="0" xfId="0" applyNumberFormat="1" applyFont="1" applyFill="1" applyBorder="1" applyAlignment="1">
      <alignment horizontal="center"/>
    </xf>
    <xf numFmtId="0" fontId="9" fillId="11" borderId="25" xfId="0" applyFont="1" applyFill="1" applyBorder="1" applyAlignment="1">
      <alignment horizontal="center"/>
    </xf>
    <xf numFmtId="164" fontId="0" fillId="16" borderId="25" xfId="0" applyNumberFormat="1" applyFill="1" applyBorder="1" applyAlignment="1">
      <alignment horizontal="center"/>
    </xf>
    <xf numFmtId="0" fontId="0" fillId="17" borderId="15" xfId="0" applyFill="1" applyBorder="1"/>
    <xf numFmtId="0" fontId="0" fillId="12" borderId="18" xfId="0" applyFill="1" applyBorder="1"/>
    <xf numFmtId="0" fontId="0" fillId="12" borderId="13" xfId="0" applyFill="1" applyBorder="1"/>
    <xf numFmtId="0" fontId="1" fillId="7" borderId="1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3" fontId="0" fillId="6" borderId="29" xfId="0" applyNumberFormat="1" applyFill="1" applyBorder="1" applyAlignment="1">
      <alignment horizontal="center"/>
    </xf>
    <xf numFmtId="0" fontId="0" fillId="4" borderId="24" xfId="0" applyFill="1" applyBorder="1"/>
    <xf numFmtId="0" fontId="8" fillId="18" borderId="24" xfId="0" applyFont="1" applyFill="1" applyBorder="1" applyAlignment="1">
      <alignment horizontal="centerContinuous" vertical="center"/>
    </xf>
    <xf numFmtId="0" fontId="0" fillId="18" borderId="24" xfId="0" applyFill="1" applyBorder="1" applyAlignment="1">
      <alignment horizontal="centerContinuous" vertic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164" fontId="0" fillId="19" borderId="2" xfId="0" applyNumberFormat="1" applyFill="1" applyBorder="1" applyAlignment="1">
      <alignment horizontal="center"/>
    </xf>
    <xf numFmtId="0" fontId="0" fillId="19" borderId="0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15" xfId="0" applyFill="1" applyBorder="1"/>
    <xf numFmtId="0" fontId="0" fillId="2" borderId="13" xfId="0" applyFill="1" applyBorder="1"/>
    <xf numFmtId="0" fontId="6" fillId="2" borderId="15" xfId="0" applyFont="1" applyFill="1" applyBorder="1"/>
    <xf numFmtId="0" fontId="0" fillId="19" borderId="15" xfId="0" applyFill="1" applyBorder="1"/>
    <xf numFmtId="0" fontId="0" fillId="19" borderId="13" xfId="0" applyFill="1" applyBorder="1"/>
    <xf numFmtId="0" fontId="6" fillId="19" borderId="15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19" borderId="20" xfId="0" applyFill="1" applyBorder="1"/>
    <xf numFmtId="0" fontId="0" fillId="19" borderId="18" xfId="0" applyFill="1" applyBorder="1"/>
    <xf numFmtId="0" fontId="0" fillId="19" borderId="16" xfId="0" applyFill="1" applyBorder="1"/>
    <xf numFmtId="3" fontId="0" fillId="6" borderId="0" xfId="0" applyNumberFormat="1" applyFill="1" applyBorder="1" applyAlignment="1">
      <alignment horizontal="center"/>
    </xf>
    <xf numFmtId="0" fontId="9" fillId="11" borderId="35" xfId="0" applyFont="1" applyFill="1" applyBorder="1" applyAlignment="1">
      <alignment horizontal="center"/>
    </xf>
    <xf numFmtId="164" fontId="7" fillId="5" borderId="34" xfId="0" applyNumberFormat="1" applyFont="1" applyFill="1" applyBorder="1" applyAlignment="1">
      <alignment horizontal="center"/>
    </xf>
    <xf numFmtId="164" fontId="0" fillId="9" borderId="35" xfId="0" applyNumberFormat="1" applyFill="1" applyBorder="1" applyAlignment="1">
      <alignment horizontal="center"/>
    </xf>
    <xf numFmtId="164" fontId="6" fillId="16" borderId="36" xfId="0" applyNumberFormat="1" applyFont="1" applyFill="1" applyBorder="1" applyAlignment="1">
      <alignment horizontal="center"/>
    </xf>
    <xf numFmtId="2" fontId="0" fillId="6" borderId="35" xfId="0" applyNumberFormat="1" applyFill="1" applyBorder="1" applyAlignment="1">
      <alignment horizontal="center"/>
    </xf>
    <xf numFmtId="1" fontId="0" fillId="10" borderId="25" xfId="0" applyNumberFormat="1" applyFill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10" fontId="0" fillId="9" borderId="36" xfId="0" applyNumberForma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8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">
    <dxf>
      <font>
        <b val="0"/>
        <i val="0"/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FFCC00"/>
      <color rgb="FFCCFFFF"/>
      <color rgb="FF99FFCC"/>
      <color rgb="FFFF9933"/>
      <color rgb="FF66FFFF"/>
      <color rgb="FF00FFFF"/>
      <color rgb="FF969696"/>
      <color rgb="FFB2B2B2"/>
      <color rgb="FFC0C0C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TSPI -</a:t>
            </a:r>
            <a:r>
              <a:rPr lang="en-US" baseline="0"/>
              <a:t> Recovery Threshold</a:t>
            </a:r>
            <a:endParaRPr lang="en-US"/>
          </a:p>
        </c:rich>
      </c:tx>
      <c:layout>
        <c:manualLayout>
          <c:xMode val="edge"/>
          <c:yMode val="edge"/>
          <c:x val="0.32329839415234385"/>
          <c:y val="3.8662439922282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38740840769579"/>
          <c:y val="0.29780609847377437"/>
          <c:w val="0.79785113796021923"/>
          <c:h val="0.485894160667737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'Calculator &amp; Graphs'!$B$2</c:f>
              <c:strCache>
                <c:ptCount val="1"/>
                <c:pt idx="0">
                  <c:v>TSPI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'Calculator &amp; Graphs'!$A$4:$A$14</c:f>
              <c:numCache>
                <c:formatCode>0.000</c:formatCode>
                <c:ptCount val="11"/>
                <c:pt idx="0">
                  <c:v>1E-3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0.999</c:v>
                </c:pt>
              </c:numCache>
            </c:numRef>
          </c:xVal>
          <c:yVal>
            <c:numRef>
              <c:f>'Calculator &amp; Graphs'!$B$4:$B$14</c:f>
              <c:numCache>
                <c:formatCode>0.000</c:formatCode>
                <c:ptCount val="11"/>
                <c:pt idx="0">
                  <c:v>1.0005007511266899</c:v>
                </c:pt>
                <c:pt idx="1">
                  <c:v>1.0588235294117647</c:v>
                </c:pt>
                <c:pt idx="2">
                  <c:v>1.142857142857143</c:v>
                </c:pt>
                <c:pt idx="3">
                  <c:v>1.2727272727272725</c:v>
                </c:pt>
                <c:pt idx="4">
                  <c:v>1.5000000000000002</c:v>
                </c:pt>
                <c:pt idx="5">
                  <c:v>2</c:v>
                </c:pt>
                <c:pt idx="6">
                  <c:v>4.0000000000000009</c:v>
                </c:pt>
                <c:pt idx="7">
                  <c:v>-5.9999999999999956</c:v>
                </c:pt>
                <c:pt idx="8">
                  <c:v>-0.99999999999999889</c:v>
                </c:pt>
                <c:pt idx="9">
                  <c:v>-0.28571428571428559</c:v>
                </c:pt>
                <c:pt idx="10">
                  <c:v>-2.0060180541624888E-3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'Calculator &amp; Graphs'!$C$2</c:f>
              <c:strCache>
                <c:ptCount val="1"/>
                <c:pt idx="0">
                  <c:v>SPI(t)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'Calculator &amp; Graphs'!$A$4:$A$14</c:f>
              <c:numCache>
                <c:formatCode>0.000</c:formatCode>
                <c:ptCount val="11"/>
                <c:pt idx="0">
                  <c:v>1E-3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0.999</c:v>
                </c:pt>
              </c:numCache>
            </c:numRef>
          </c:xVal>
          <c:yVal>
            <c:numRef>
              <c:f>'Calculator &amp; Graphs'!$C$4:$C$14</c:f>
              <c:numCache>
                <c:formatCode>0.000</c:formatCode>
                <c:ptCount val="11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'Calculator &amp; Graphs'!$D$2</c:f>
              <c:strCache>
                <c:ptCount val="1"/>
                <c:pt idx="0">
                  <c:v>Threshold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'Calculator &amp; Graphs'!$A$4:$A$14</c:f>
              <c:numCache>
                <c:formatCode>0.000</c:formatCode>
                <c:ptCount val="11"/>
                <c:pt idx="0">
                  <c:v>1E-3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0.999</c:v>
                </c:pt>
              </c:numCache>
            </c:numRef>
          </c:xVal>
          <c:yVal>
            <c:numRef>
              <c:f>'Calculator &amp; Graphs'!$D$4:$D$14</c:f>
              <c:numCache>
                <c:formatCode>0.000</c:formatCode>
                <c:ptCount val="11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15264"/>
        <c:axId val="65117568"/>
      </c:scatterChart>
      <c:valAx>
        <c:axId val="6511526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Complete</a:t>
                </a:r>
              </a:p>
            </c:rich>
          </c:tx>
          <c:layout>
            <c:manualLayout>
              <c:xMode val="edge"/>
              <c:yMode val="edge"/>
              <c:x val="0.41720520418818613"/>
              <c:y val="0.880879094658622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7568"/>
        <c:crosses val="autoZero"/>
        <c:crossBetween val="midCat"/>
      </c:valAx>
      <c:valAx>
        <c:axId val="65117568"/>
        <c:scaling>
          <c:orientation val="minMax"/>
          <c:max val="1.3"/>
          <c:min val="0.700000000000000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edge"/>
              <c:yMode val="edge"/>
              <c:x val="3.4408602150537634E-2"/>
              <c:y val="0.476489756962197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5264"/>
        <c:crosses val="autoZero"/>
        <c:crossBetween val="midCat"/>
        <c:majorUnit val="0.1"/>
        <c:minorUnit val="1.0000000000000004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182861187124467"/>
          <c:y val="0.15584415584415584"/>
          <c:w val="0.47096873103312131"/>
          <c:h val="7.792207792207792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TSPI </a:t>
            </a:r>
            <a:r>
              <a:rPr lang="en-US" baseline="0"/>
              <a:t> Behavior</a:t>
            </a:r>
            <a:endParaRPr lang="en-US"/>
          </a:p>
        </c:rich>
      </c:tx>
      <c:layout>
        <c:manualLayout>
          <c:xMode val="edge"/>
          <c:yMode val="edge"/>
          <c:x val="0.39743679475962934"/>
          <c:y val="3.41611667473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98323146874896"/>
          <c:y val="0.29813709805824506"/>
          <c:w val="0.79059994032105607"/>
          <c:h val="0.549690274544889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'Calculator &amp; Graphs'!$B$2</c:f>
              <c:strCache>
                <c:ptCount val="1"/>
                <c:pt idx="0">
                  <c:v>TSPI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'Calculator &amp; Graphs'!$A$3:$A$14</c:f>
              <c:numCache>
                <c:formatCode>0.000</c:formatCode>
                <c:ptCount val="12"/>
                <c:pt idx="0">
                  <c:v>0.15384615384615394</c:v>
                </c:pt>
                <c:pt idx="1">
                  <c:v>1E-3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0.999</c:v>
                </c:pt>
              </c:numCache>
            </c:numRef>
          </c:xVal>
          <c:yVal>
            <c:numRef>
              <c:f>'Calculator &amp; Graphs'!$B$3:$B$14</c:f>
              <c:numCache>
                <c:formatCode>0.000</c:formatCode>
                <c:ptCount val="12"/>
                <c:pt idx="0">
                  <c:v>1.1000000000000001</c:v>
                </c:pt>
                <c:pt idx="1">
                  <c:v>1.0005007511266899</c:v>
                </c:pt>
                <c:pt idx="2">
                  <c:v>1.0588235294117647</c:v>
                </c:pt>
                <c:pt idx="3">
                  <c:v>1.142857142857143</c:v>
                </c:pt>
                <c:pt idx="4">
                  <c:v>1.2727272727272725</c:v>
                </c:pt>
                <c:pt idx="5">
                  <c:v>1.5000000000000002</c:v>
                </c:pt>
                <c:pt idx="6">
                  <c:v>2</c:v>
                </c:pt>
                <c:pt idx="7">
                  <c:v>4.0000000000000009</c:v>
                </c:pt>
                <c:pt idx="8">
                  <c:v>-5.9999999999999956</c:v>
                </c:pt>
                <c:pt idx="9">
                  <c:v>-0.99999999999999889</c:v>
                </c:pt>
                <c:pt idx="10">
                  <c:v>-0.28571428571428559</c:v>
                </c:pt>
                <c:pt idx="11">
                  <c:v>-2.0060180541624888E-3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'Calculator &amp; Graphs'!$C$2</c:f>
              <c:strCache>
                <c:ptCount val="1"/>
                <c:pt idx="0">
                  <c:v>SPI(t)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'Calculator &amp; Graphs'!$A$3:$A$14</c:f>
              <c:numCache>
                <c:formatCode>0.000</c:formatCode>
                <c:ptCount val="12"/>
                <c:pt idx="0">
                  <c:v>0.15384615384615394</c:v>
                </c:pt>
                <c:pt idx="1">
                  <c:v>1E-3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0.999</c:v>
                </c:pt>
              </c:numCache>
            </c:numRef>
          </c:xVal>
          <c:yVal>
            <c:numRef>
              <c:f>'Calculator &amp; Graphs'!$C$3:$C$14</c:f>
              <c:numCache>
                <c:formatCode>0.000</c:formatCode>
                <c:ptCount val="12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0.66666666666666663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'Calculator &amp; Graphs'!$D$2</c:f>
              <c:strCache>
                <c:ptCount val="1"/>
                <c:pt idx="0">
                  <c:v>Threshold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'Calculator &amp; Graphs'!$A$3:$A$14</c:f>
              <c:numCache>
                <c:formatCode>0.000</c:formatCode>
                <c:ptCount val="12"/>
                <c:pt idx="0">
                  <c:v>0.15384615384615394</c:v>
                </c:pt>
                <c:pt idx="1">
                  <c:v>1E-3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0.999</c:v>
                </c:pt>
              </c:numCache>
            </c:numRef>
          </c:xVal>
          <c:yVal>
            <c:numRef>
              <c:f>'Calculator &amp; Graphs'!$D$3:$D$14</c:f>
              <c:numCache>
                <c:formatCode>0.000</c:formatCode>
                <c:ptCount val="12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05376"/>
        <c:axId val="65207680"/>
      </c:scatterChart>
      <c:valAx>
        <c:axId val="6520537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 Complete</a:t>
                </a:r>
              </a:p>
            </c:rich>
          </c:tx>
          <c:layout>
            <c:manualLayout>
              <c:xMode val="edge"/>
              <c:yMode val="edge"/>
              <c:x val="0.423077820400655"/>
              <c:y val="0.881988974679135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07680"/>
        <c:crosses val="autoZero"/>
        <c:crossBetween val="midCat"/>
      </c:valAx>
      <c:valAx>
        <c:axId val="65207680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edge"/>
              <c:yMode val="edge"/>
              <c:x val="3.4188034188034191E-2"/>
              <c:y val="0.509317500360998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05376"/>
        <c:crosses val="autoZero"/>
        <c:crossBetween val="midCat"/>
        <c:majorUnit val="2"/>
        <c:minorUnit val="3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837673272388473"/>
          <c:y val="0.15210404057961854"/>
          <c:w val="0.46794969440624667"/>
          <c:h val="7.7670148381081813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28575</xdr:rowOff>
    </xdr:from>
    <xdr:to>
      <xdr:col>3</xdr:col>
      <xdr:colOff>1104900</xdr:colOff>
      <xdr:row>35</xdr:row>
      <xdr:rowOff>152400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17</xdr:row>
      <xdr:rowOff>19050</xdr:rowOff>
    </xdr:from>
    <xdr:to>
      <xdr:col>8</xdr:col>
      <xdr:colOff>1095375</xdr:colOff>
      <xdr:row>36</xdr:row>
      <xdr:rowOff>1905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7"/>
  <sheetViews>
    <sheetView tabSelected="1" zoomScale="110" zoomScaleNormal="110" workbookViewId="0">
      <selection activeCell="F3" sqref="F3"/>
    </sheetView>
  </sheetViews>
  <sheetFormatPr defaultRowHeight="12.75" x14ac:dyDescent="0.2"/>
  <cols>
    <col min="1" max="4" width="16.7109375" style="2" customWidth="1"/>
    <col min="5" max="5" width="1.42578125" style="2" customWidth="1"/>
    <col min="6" max="6" width="16.7109375" style="2" customWidth="1"/>
    <col min="7" max="8" width="16.7109375" customWidth="1"/>
    <col min="9" max="9" width="18.140625" customWidth="1"/>
    <col min="10" max="10" width="2.28515625" style="74" customWidth="1"/>
    <col min="11" max="12" width="14.85546875" style="74" customWidth="1"/>
    <col min="13" max="13" width="1.42578125" customWidth="1"/>
    <col min="14" max="18" width="17.85546875" customWidth="1"/>
  </cols>
  <sheetData>
    <row r="1" spans="1:17" ht="30" customHeight="1" thickTop="1" thickBot="1" x14ac:dyDescent="0.25">
      <c r="A1" s="129" t="s">
        <v>24</v>
      </c>
      <c r="B1" s="130"/>
      <c r="C1" s="130"/>
      <c r="D1" s="130"/>
      <c r="E1" s="130"/>
      <c r="F1" s="130"/>
      <c r="G1" s="130"/>
      <c r="H1" s="130"/>
      <c r="I1" s="130"/>
      <c r="J1" s="94"/>
      <c r="K1" s="95" t="s">
        <v>81</v>
      </c>
      <c r="L1" s="96"/>
      <c r="M1" s="60"/>
      <c r="N1" s="77"/>
      <c r="O1" s="77"/>
      <c r="P1" s="77"/>
      <c r="Q1" s="86"/>
    </row>
    <row r="2" spans="1:17" ht="17.25" customHeight="1" thickTop="1" x14ac:dyDescent="0.25">
      <c r="A2" s="87" t="s">
        <v>6</v>
      </c>
      <c r="B2" s="88" t="s">
        <v>7</v>
      </c>
      <c r="C2" s="88" t="s">
        <v>8</v>
      </c>
      <c r="D2" s="89" t="s">
        <v>1</v>
      </c>
      <c r="E2" s="18"/>
      <c r="F2" s="90" t="s">
        <v>14</v>
      </c>
      <c r="G2" s="88" t="s">
        <v>9</v>
      </c>
      <c r="H2" s="88" t="s">
        <v>15</v>
      </c>
      <c r="I2" s="89" t="s">
        <v>10</v>
      </c>
      <c r="J2" s="12"/>
      <c r="K2" s="99" t="s">
        <v>80</v>
      </c>
      <c r="L2" s="100" t="s">
        <v>8</v>
      </c>
      <c r="M2" s="60"/>
      <c r="N2" s="131" t="s">
        <v>2</v>
      </c>
      <c r="O2" s="132"/>
      <c r="P2" s="132"/>
      <c r="Q2" s="133"/>
    </row>
    <row r="3" spans="1:17" s="74" customFormat="1" ht="15" customHeight="1" x14ac:dyDescent="0.2">
      <c r="A3" s="125">
        <f xml:space="preserve"> IF(C3&gt; I3/F3, 1, IF(OR(1 &lt; (B3*H3 - 1)/(B3/C3 - 1), 0 &gt; (B3*H3 - 1)/(B3/C3 - 1)), 0, (B3*H3 - 1)/(B3/C3 -1)))</f>
        <v>0.15384615384615394</v>
      </c>
      <c r="B3" s="91">
        <v>1.1000000000000001</v>
      </c>
      <c r="C3" s="124">
        <f xml:space="preserve"> H5/H6</f>
        <v>0.66666666666666663</v>
      </c>
      <c r="D3" s="92">
        <v>1.1000000000000001</v>
      </c>
      <c r="E3" s="7"/>
      <c r="F3" s="93">
        <v>20</v>
      </c>
      <c r="G3" s="127">
        <f xml:space="preserve"> I3/ C14</f>
        <v>30</v>
      </c>
      <c r="H3" s="128">
        <f xml:space="preserve"> F$3/I$3</f>
        <v>1</v>
      </c>
      <c r="I3" s="116">
        <v>20</v>
      </c>
      <c r="J3" s="12"/>
      <c r="K3" s="97" t="str">
        <f xml:space="preserve"> IF(OR(I12 = "NA", H$9 = "Not Likely", H$9 = "Likely"),"NA", H6)</f>
        <v>NA</v>
      </c>
      <c r="L3" s="101" t="str">
        <f xml:space="preserve"> IF(OR(I12 = "NA", H$9 = "Not Likely", H$9 = "Likely"), "NA", C3)</f>
        <v>NA</v>
      </c>
      <c r="M3" s="77"/>
      <c r="N3" s="134"/>
      <c r="O3" s="135"/>
      <c r="P3" s="135"/>
      <c r="Q3" s="136"/>
    </row>
    <row r="4" spans="1:17" s="74" customFormat="1" ht="15" customHeight="1" x14ac:dyDescent="0.2">
      <c r="A4" s="9">
        <v>1E-3</v>
      </c>
      <c r="B4" s="3">
        <f t="shared" ref="B4:B14" si="0" xml:space="preserve"> IF(A4 = C4, (1 - A4) / (H$3 - ((A4 + 0.0001)/C4)), (1 - A4) / (H$3 - (A4/C4)))</f>
        <v>1.0005007511266899</v>
      </c>
      <c r="C4" s="13">
        <f>C3</f>
        <v>0.66666666666666663</v>
      </c>
      <c r="D4" s="4">
        <f t="shared" ref="D4:D14" si="1" xml:space="preserve"> D$3</f>
        <v>1.1000000000000001</v>
      </c>
      <c r="E4" s="8"/>
      <c r="F4" s="78"/>
      <c r="G4" s="77"/>
      <c r="H4" s="77"/>
      <c r="I4" s="77"/>
      <c r="J4" s="12"/>
      <c r="K4" s="98" t="str">
        <f xml:space="preserve"> IF(H$9 = "Not Likely"," ", IF(K3 &lt; F$3, K3 + 1," "))</f>
        <v xml:space="preserve"> </v>
      </c>
      <c r="L4" s="101" t="str">
        <f t="shared" ref="L4:L35" si="2">IF(OR(K4 &gt; F$3, H$9 = "Not Likely"), " ", IF((K4 - K$3) &gt; H$7, H$12, IF((K4 - K$3) &lt;= H$7,C$3 + (K4 - K$3)/H$7 * (H$12 - C$3)," ")))</f>
        <v xml:space="preserve"> </v>
      </c>
      <c r="M4" s="77"/>
      <c r="N4" s="62" t="s">
        <v>66</v>
      </c>
      <c r="O4" s="49"/>
      <c r="P4" s="49"/>
      <c r="Q4" s="50"/>
    </row>
    <row r="5" spans="1:17" s="74" customFormat="1" ht="15" customHeight="1" x14ac:dyDescent="0.2">
      <c r="A5" s="9">
        <v>0.1</v>
      </c>
      <c r="B5" s="3">
        <f t="shared" si="0"/>
        <v>1.0588235294117647</v>
      </c>
      <c r="C5" s="3">
        <f t="shared" ref="C5:C13" si="3" xml:space="preserve"> C4</f>
        <v>0.66666666666666663</v>
      </c>
      <c r="D5" s="4">
        <f t="shared" si="1"/>
        <v>1.1000000000000001</v>
      </c>
      <c r="E5" s="7"/>
      <c r="F5" s="78"/>
      <c r="G5" s="79" t="s">
        <v>21</v>
      </c>
      <c r="H5" s="121">
        <v>10</v>
      </c>
      <c r="I5" s="77"/>
      <c r="J5" s="12"/>
      <c r="K5" s="98" t="str">
        <f t="shared" ref="K5:K35" si="4" xml:space="preserve"> IF(H$9 = "Not Likely"," ", IF(K4 &lt; F$3, K4 + 1," "))</f>
        <v xml:space="preserve"> </v>
      </c>
      <c r="L5" s="101" t="str">
        <f t="shared" si="2"/>
        <v xml:space="preserve"> </v>
      </c>
      <c r="M5" s="77"/>
      <c r="N5" s="62" t="s">
        <v>70</v>
      </c>
      <c r="O5" s="49"/>
      <c r="P5" s="49"/>
      <c r="Q5" s="50"/>
    </row>
    <row r="6" spans="1:17" s="74" customFormat="1" ht="15" customHeight="1" x14ac:dyDescent="0.2">
      <c r="A6" s="9">
        <v>0.2</v>
      </c>
      <c r="B6" s="3">
        <f t="shared" si="0"/>
        <v>1.142857142857143</v>
      </c>
      <c r="C6" s="3">
        <f t="shared" si="3"/>
        <v>0.66666666666666663</v>
      </c>
      <c r="D6" s="4">
        <f t="shared" si="1"/>
        <v>1.1000000000000001</v>
      </c>
      <c r="E6" s="7"/>
      <c r="F6" s="58"/>
      <c r="G6" s="61" t="s">
        <v>52</v>
      </c>
      <c r="H6" s="122">
        <v>15</v>
      </c>
      <c r="I6" s="77"/>
      <c r="J6" s="12"/>
      <c r="K6" s="98" t="str">
        <f t="shared" si="4"/>
        <v xml:space="preserve"> </v>
      </c>
      <c r="L6" s="101" t="str">
        <f t="shared" si="2"/>
        <v xml:space="preserve"> </v>
      </c>
      <c r="M6" s="77"/>
      <c r="N6" s="62" t="s">
        <v>69</v>
      </c>
      <c r="O6" s="49"/>
      <c r="P6" s="49"/>
      <c r="Q6" s="50"/>
    </row>
    <row r="7" spans="1:17" s="74" customFormat="1" ht="15" customHeight="1" x14ac:dyDescent="0.2">
      <c r="A7" s="9">
        <v>0.3</v>
      </c>
      <c r="B7" s="3">
        <f t="shared" si="0"/>
        <v>1.2727272727272725</v>
      </c>
      <c r="C7" s="3">
        <f t="shared" si="3"/>
        <v>0.66666666666666663</v>
      </c>
      <c r="D7" s="4">
        <f t="shared" si="1"/>
        <v>1.1000000000000001</v>
      </c>
      <c r="E7" s="8"/>
      <c r="F7" s="59" t="s">
        <v>55</v>
      </c>
      <c r="G7" s="80"/>
      <c r="H7" s="123">
        <v>0</v>
      </c>
      <c r="I7" s="78"/>
      <c r="J7" s="12"/>
      <c r="K7" s="98" t="str">
        <f t="shared" si="4"/>
        <v xml:space="preserve"> </v>
      </c>
      <c r="L7" s="101" t="str">
        <f t="shared" si="2"/>
        <v xml:space="preserve"> </v>
      </c>
      <c r="M7" s="77"/>
      <c r="N7" s="62" t="s">
        <v>25</v>
      </c>
      <c r="O7" s="49"/>
      <c r="P7" s="49"/>
      <c r="Q7" s="50"/>
    </row>
    <row r="8" spans="1:17" s="74" customFormat="1" ht="15" customHeight="1" x14ac:dyDescent="0.2">
      <c r="A8" s="9">
        <v>0.4</v>
      </c>
      <c r="B8" s="3">
        <f t="shared" si="0"/>
        <v>1.5000000000000002</v>
      </c>
      <c r="C8" s="3">
        <f t="shared" si="3"/>
        <v>0.66666666666666663</v>
      </c>
      <c r="D8" s="4">
        <f t="shared" si="1"/>
        <v>1.1000000000000001</v>
      </c>
      <c r="E8" s="8"/>
      <c r="F8" s="78"/>
      <c r="G8" s="77"/>
      <c r="H8" s="77"/>
      <c r="I8" s="77"/>
      <c r="J8" s="12"/>
      <c r="K8" s="98" t="str">
        <f t="shared" si="4"/>
        <v xml:space="preserve"> </v>
      </c>
      <c r="L8" s="101" t="str">
        <f t="shared" si="2"/>
        <v xml:space="preserve"> </v>
      </c>
      <c r="M8" s="77"/>
      <c r="N8" s="62" t="s">
        <v>26</v>
      </c>
      <c r="O8" s="49"/>
      <c r="P8" s="49"/>
      <c r="Q8" s="50"/>
    </row>
    <row r="9" spans="1:17" s="74" customFormat="1" ht="15" customHeight="1" x14ac:dyDescent="0.2">
      <c r="A9" s="9">
        <v>0.5</v>
      </c>
      <c r="B9" s="3">
        <f t="shared" si="0"/>
        <v>2</v>
      </c>
      <c r="C9" s="3">
        <f t="shared" si="3"/>
        <v>0.66666666666666663</v>
      </c>
      <c r="D9" s="4">
        <f t="shared" si="1"/>
        <v>1.1000000000000001</v>
      </c>
      <c r="E9" s="8"/>
      <c r="F9" s="58"/>
      <c r="G9" s="81" t="s">
        <v>22</v>
      </c>
      <c r="H9" s="118" t="str">
        <f>IF(A3=1,"Likely",IF(A3-H5/I3&lt;0,"Not Likely",A3-H5/I3))</f>
        <v>Not Likely</v>
      </c>
      <c r="I9" s="77"/>
      <c r="J9" s="12"/>
      <c r="K9" s="98" t="str">
        <f t="shared" si="4"/>
        <v xml:space="preserve"> </v>
      </c>
      <c r="L9" s="101" t="str">
        <f t="shared" si="2"/>
        <v xml:space="preserve"> </v>
      </c>
      <c r="M9" s="77"/>
      <c r="N9" s="62" t="s">
        <v>27</v>
      </c>
      <c r="O9" s="49"/>
      <c r="P9" s="49"/>
      <c r="Q9" s="50"/>
    </row>
    <row r="10" spans="1:17" s="74" customFormat="1" ht="15" customHeight="1" x14ac:dyDescent="0.2">
      <c r="A10" s="9">
        <v>0.6</v>
      </c>
      <c r="B10" s="3">
        <f t="shared" si="0"/>
        <v>4.0000000000000009</v>
      </c>
      <c r="C10" s="3">
        <f t="shared" si="3"/>
        <v>0.66666666666666663</v>
      </c>
      <c r="D10" s="4">
        <f t="shared" si="1"/>
        <v>1.1000000000000001</v>
      </c>
      <c r="E10" s="8"/>
      <c r="F10" s="58"/>
      <c r="G10" s="77"/>
      <c r="H10" s="77"/>
      <c r="I10" s="117" t="s">
        <v>32</v>
      </c>
      <c r="J10" s="12"/>
      <c r="K10" s="98" t="str">
        <f t="shared" si="4"/>
        <v xml:space="preserve"> </v>
      </c>
      <c r="L10" s="101" t="str">
        <f t="shared" si="2"/>
        <v xml:space="preserve"> </v>
      </c>
      <c r="M10" s="77"/>
      <c r="N10" s="62" t="s">
        <v>28</v>
      </c>
      <c r="O10" s="49"/>
      <c r="P10" s="49"/>
      <c r="Q10" s="50"/>
    </row>
    <row r="11" spans="1:17" s="74" customFormat="1" ht="15" customHeight="1" x14ac:dyDescent="0.2">
      <c r="A11" s="9">
        <v>0.7</v>
      </c>
      <c r="B11" s="3">
        <f t="shared" si="0"/>
        <v>-5.9999999999999956</v>
      </c>
      <c r="C11" s="3">
        <f t="shared" si="3"/>
        <v>0.66666666666666663</v>
      </c>
      <c r="D11" s="4">
        <f t="shared" si="1"/>
        <v>1.1000000000000001</v>
      </c>
      <c r="E11" s="8"/>
      <c r="F11" s="58"/>
      <c r="G11" s="61" t="s">
        <v>53</v>
      </c>
      <c r="H11" s="119">
        <f>IF(I3=H5,"NA",(I3-H5)/(F3-H6))</f>
        <v>2</v>
      </c>
      <c r="I11" s="65">
        <f xml:space="preserve"> IF(I3 = H5, "NA", (H11 - C3)/C3)</f>
        <v>2.0000000000000004</v>
      </c>
      <c r="J11" s="12"/>
      <c r="K11" s="98" t="str">
        <f t="shared" si="4"/>
        <v xml:space="preserve"> </v>
      </c>
      <c r="L11" s="101" t="str">
        <f t="shared" si="2"/>
        <v xml:space="preserve"> </v>
      </c>
      <c r="M11" s="77"/>
      <c r="N11" s="62" t="s">
        <v>30</v>
      </c>
      <c r="O11" s="49"/>
      <c r="P11" s="49"/>
      <c r="Q11" s="50"/>
    </row>
    <row r="12" spans="1:17" s="74" customFormat="1" ht="15" customHeight="1" x14ac:dyDescent="0.2">
      <c r="A12" s="9">
        <v>0.8</v>
      </c>
      <c r="B12" s="3">
        <f t="shared" si="0"/>
        <v>-0.99999999999999889</v>
      </c>
      <c r="C12" s="3">
        <f t="shared" si="3"/>
        <v>0.66666666666666663</v>
      </c>
      <c r="D12" s="4">
        <f t="shared" si="1"/>
        <v>1.1000000000000001</v>
      </c>
      <c r="E12" s="8"/>
      <c r="F12" s="58"/>
      <c r="G12" s="61" t="s">
        <v>54</v>
      </c>
      <c r="H12" s="57" t="str">
        <f xml:space="preserve"> IF(OR(I3 = H5, A3*I3 &lt; H5, H7 &gt; (F3 - H6)),"NA", ((H11 - C3) * H13 / H14) + C3)</f>
        <v>NA</v>
      </c>
      <c r="I12" s="65" t="str">
        <f xml:space="preserve"> IF(OR(I3 = H5, A3*I3 &lt; H5, H7 &gt; (F3 - H6)), "NA", (H12 - C3)/C3)</f>
        <v>NA</v>
      </c>
      <c r="J12" s="12"/>
      <c r="K12" s="98" t="str">
        <f t="shared" si="4"/>
        <v xml:space="preserve"> </v>
      </c>
      <c r="L12" s="101" t="str">
        <f t="shared" si="2"/>
        <v xml:space="preserve"> </v>
      </c>
      <c r="M12" s="77"/>
      <c r="N12" s="62" t="s">
        <v>29</v>
      </c>
      <c r="O12" s="49"/>
      <c r="P12" s="49"/>
      <c r="Q12" s="50"/>
    </row>
    <row r="13" spans="1:17" s="74" customFormat="1" ht="15" customHeight="1" x14ac:dyDescent="0.2">
      <c r="A13" s="9">
        <v>0.9</v>
      </c>
      <c r="B13" s="3">
        <f t="shared" si="0"/>
        <v>-0.28571428571428559</v>
      </c>
      <c r="C13" s="3">
        <f t="shared" si="3"/>
        <v>0.66666666666666663</v>
      </c>
      <c r="D13" s="4">
        <f t="shared" si="1"/>
        <v>1.1000000000000001</v>
      </c>
      <c r="E13" s="8"/>
      <c r="F13" s="58"/>
      <c r="G13" s="64" t="s">
        <v>56</v>
      </c>
      <c r="H13" s="83" t="str">
        <f xml:space="preserve"> IF(OR(I3 = H5, A3*I3 &lt; H5), "NA", (F3 - H6)/F3)</f>
        <v>NA</v>
      </c>
      <c r="I13" s="82" t="s">
        <v>98</v>
      </c>
      <c r="J13" s="12"/>
      <c r="K13" s="98" t="str">
        <f t="shared" si="4"/>
        <v xml:space="preserve"> </v>
      </c>
      <c r="L13" s="101" t="str">
        <f t="shared" si="2"/>
        <v xml:space="preserve"> </v>
      </c>
      <c r="M13" s="77"/>
      <c r="N13" s="63"/>
      <c r="O13" s="54"/>
      <c r="P13" s="54"/>
      <c r="Q13" s="55"/>
    </row>
    <row r="14" spans="1:17" s="74" customFormat="1" ht="15" customHeight="1" x14ac:dyDescent="0.2">
      <c r="A14" s="9">
        <v>0.999</v>
      </c>
      <c r="B14" s="3">
        <f t="shared" si="0"/>
        <v>-2.0060180541624888E-3</v>
      </c>
      <c r="C14" s="3">
        <f xml:space="preserve"> C13</f>
        <v>0.66666666666666663</v>
      </c>
      <c r="D14" s="4">
        <f t="shared" si="1"/>
        <v>1.1000000000000001</v>
      </c>
      <c r="E14" s="8"/>
      <c r="F14" s="78"/>
      <c r="G14" s="64" t="s">
        <v>57</v>
      </c>
      <c r="H14" s="120" t="str">
        <f xml:space="preserve"> IF(OR(I3*A3 &lt; H5, I3 = H5), "NA", H13 - (H7/F3)/2)</f>
        <v>NA</v>
      </c>
      <c r="I14" s="126" t="str">
        <f>IF(I12="NA","NA",(L4-L3)/L3)</f>
        <v>NA</v>
      </c>
      <c r="J14" s="12"/>
      <c r="K14" s="98" t="str">
        <f t="shared" si="4"/>
        <v xml:space="preserve"> </v>
      </c>
      <c r="L14" s="101" t="str">
        <f t="shared" si="2"/>
        <v xml:space="preserve"> </v>
      </c>
      <c r="M14" s="77"/>
      <c r="N14" s="51" t="s">
        <v>75</v>
      </c>
      <c r="O14" s="52"/>
      <c r="P14" s="52"/>
      <c r="Q14" s="55"/>
    </row>
    <row r="15" spans="1:17" s="74" customFormat="1" ht="15" customHeight="1" x14ac:dyDescent="0.2">
      <c r="A15" s="10"/>
      <c r="B15" s="11"/>
      <c r="C15" s="11"/>
      <c r="D15" s="11"/>
      <c r="E15" s="8"/>
      <c r="F15" s="78"/>
      <c r="G15" s="77"/>
      <c r="H15" s="77"/>
      <c r="I15" s="77"/>
      <c r="J15" s="12"/>
      <c r="K15" s="98" t="str">
        <f t="shared" si="4"/>
        <v xml:space="preserve"> </v>
      </c>
      <c r="L15" s="101" t="str">
        <f t="shared" si="2"/>
        <v xml:space="preserve"> </v>
      </c>
      <c r="M15" s="77"/>
      <c r="N15" s="62" t="s">
        <v>78</v>
      </c>
      <c r="O15" s="54"/>
      <c r="P15" s="54"/>
      <c r="Q15" s="55"/>
    </row>
    <row r="16" spans="1:17" s="74" customFormat="1" ht="15" customHeight="1" x14ac:dyDescent="0.2">
      <c r="A16" s="10"/>
      <c r="B16" s="11"/>
      <c r="C16" s="11"/>
      <c r="D16" s="11"/>
      <c r="E16" s="11"/>
      <c r="F16" s="78"/>
      <c r="G16" s="77"/>
      <c r="H16" s="77"/>
      <c r="I16" s="77"/>
      <c r="J16" s="12"/>
      <c r="K16" s="98" t="str">
        <f t="shared" si="4"/>
        <v xml:space="preserve"> </v>
      </c>
      <c r="L16" s="101" t="str">
        <f t="shared" si="2"/>
        <v xml:space="preserve"> </v>
      </c>
      <c r="M16" s="77"/>
      <c r="N16" s="51" t="s">
        <v>79</v>
      </c>
      <c r="O16" s="52"/>
      <c r="P16" s="52"/>
      <c r="Q16" s="55"/>
    </row>
    <row r="17" spans="1:17" s="74" customFormat="1" ht="15" customHeight="1" x14ac:dyDescent="0.2">
      <c r="A17" s="19"/>
      <c r="B17" s="11"/>
      <c r="C17" s="12"/>
      <c r="D17" s="11"/>
      <c r="E17" s="11"/>
      <c r="F17" s="11"/>
      <c r="G17" s="12"/>
      <c r="H17" s="10"/>
      <c r="I17" s="12"/>
      <c r="J17" s="12"/>
      <c r="K17" s="98" t="str">
        <f t="shared" si="4"/>
        <v xml:space="preserve"> </v>
      </c>
      <c r="L17" s="101" t="str">
        <f t="shared" si="2"/>
        <v xml:space="preserve"> </v>
      </c>
      <c r="M17" s="77"/>
      <c r="N17" s="53" t="s">
        <v>77</v>
      </c>
      <c r="O17" s="54"/>
      <c r="P17" s="54"/>
      <c r="Q17" s="55"/>
    </row>
    <row r="18" spans="1:17" s="74" customFormat="1" ht="15" customHeight="1" x14ac:dyDescent="0.2">
      <c r="A18" s="10"/>
      <c r="B18" s="11"/>
      <c r="C18" s="11"/>
      <c r="D18" s="11"/>
      <c r="E18" s="11"/>
      <c r="F18" s="11"/>
      <c r="G18" s="12"/>
      <c r="H18" s="12"/>
      <c r="I18" s="12"/>
      <c r="J18" s="12"/>
      <c r="K18" s="98" t="str">
        <f t="shared" si="4"/>
        <v xml:space="preserve"> </v>
      </c>
      <c r="L18" s="101" t="str">
        <f t="shared" si="2"/>
        <v xml:space="preserve"> </v>
      </c>
      <c r="M18" s="77"/>
      <c r="N18" s="51" t="s">
        <v>76</v>
      </c>
      <c r="O18" s="54"/>
      <c r="P18" s="54"/>
      <c r="Q18" s="55"/>
    </row>
    <row r="19" spans="1:17" s="74" customFormat="1" ht="15" customHeight="1" x14ac:dyDescent="0.2">
      <c r="A19" s="10"/>
      <c r="B19" s="11"/>
      <c r="C19" s="11"/>
      <c r="D19" s="11"/>
      <c r="E19" s="11"/>
      <c r="F19" s="11"/>
      <c r="G19" s="12"/>
      <c r="H19" s="12"/>
      <c r="I19" s="12"/>
      <c r="J19" s="12"/>
      <c r="K19" s="98" t="str">
        <f t="shared" si="4"/>
        <v xml:space="preserve"> </v>
      </c>
      <c r="L19" s="101" t="str">
        <f t="shared" si="2"/>
        <v xml:space="preserve"> </v>
      </c>
      <c r="M19" s="77"/>
      <c r="N19" s="51"/>
      <c r="O19" s="52"/>
      <c r="P19" s="52"/>
      <c r="Q19" s="55"/>
    </row>
    <row r="20" spans="1:17" s="74" customFormat="1" ht="15" customHeight="1" x14ac:dyDescent="0.2">
      <c r="A20" s="10"/>
      <c r="B20" s="11"/>
      <c r="C20" s="11"/>
      <c r="D20" s="11"/>
      <c r="E20" s="11"/>
      <c r="F20" s="11"/>
      <c r="G20" s="12"/>
      <c r="H20" s="12"/>
      <c r="I20" s="12"/>
      <c r="J20" s="12"/>
      <c r="K20" s="98" t="str">
        <f t="shared" si="4"/>
        <v xml:space="preserve"> </v>
      </c>
      <c r="L20" s="101" t="str">
        <f t="shared" si="2"/>
        <v xml:space="preserve"> </v>
      </c>
      <c r="M20" s="77"/>
      <c r="N20" s="53" t="s">
        <v>99</v>
      </c>
      <c r="O20" s="54"/>
      <c r="P20" s="54"/>
      <c r="Q20" s="55"/>
    </row>
    <row r="21" spans="1:17" s="74" customFormat="1" ht="15" customHeight="1" x14ac:dyDescent="0.2">
      <c r="A21" s="10"/>
      <c r="B21" s="11"/>
      <c r="C21" s="11"/>
      <c r="D21" s="11"/>
      <c r="E21" s="11"/>
      <c r="F21" s="11"/>
      <c r="G21" s="12"/>
      <c r="H21" s="12"/>
      <c r="I21" s="12"/>
      <c r="J21" s="12"/>
      <c r="K21" s="98" t="str">
        <f t="shared" si="4"/>
        <v xml:space="preserve"> </v>
      </c>
      <c r="L21" s="101" t="str">
        <f t="shared" si="2"/>
        <v xml:space="preserve"> </v>
      </c>
      <c r="M21" s="77"/>
      <c r="N21" s="51" t="s">
        <v>100</v>
      </c>
      <c r="O21" s="52"/>
      <c r="P21" s="52"/>
      <c r="Q21" s="55"/>
    </row>
    <row r="22" spans="1:17" s="74" customFormat="1" ht="15" customHeight="1" x14ac:dyDescent="0.2">
      <c r="A22" s="10"/>
      <c r="B22" s="11"/>
      <c r="C22" s="11"/>
      <c r="D22" s="11"/>
      <c r="E22" s="11"/>
      <c r="F22" s="11"/>
      <c r="G22" s="12"/>
      <c r="H22" s="12"/>
      <c r="I22" s="12"/>
      <c r="J22" s="12"/>
      <c r="K22" s="98" t="str">
        <f t="shared" si="4"/>
        <v xml:space="preserve"> </v>
      </c>
      <c r="L22" s="101" t="str">
        <f t="shared" si="2"/>
        <v xml:space="preserve"> </v>
      </c>
      <c r="M22" s="77"/>
      <c r="N22" s="51" t="s">
        <v>103</v>
      </c>
      <c r="O22" s="52"/>
      <c r="P22" s="52"/>
      <c r="Q22" s="55"/>
    </row>
    <row r="23" spans="1:17" s="74" customFormat="1" ht="15" customHeight="1" x14ac:dyDescent="0.2">
      <c r="A23" s="10"/>
      <c r="B23" s="11"/>
      <c r="C23" s="11"/>
      <c r="D23" s="11"/>
      <c r="E23" s="11"/>
      <c r="F23" s="11"/>
      <c r="G23" s="12"/>
      <c r="H23" s="12"/>
      <c r="I23" s="12"/>
      <c r="J23" s="12"/>
      <c r="K23" s="98" t="str">
        <f t="shared" si="4"/>
        <v xml:space="preserve"> </v>
      </c>
      <c r="L23" s="101" t="str">
        <f t="shared" si="2"/>
        <v xml:space="preserve"> </v>
      </c>
      <c r="M23" s="77"/>
      <c r="N23" s="56"/>
      <c r="O23" s="54"/>
      <c r="P23" s="54"/>
      <c r="Q23" s="55"/>
    </row>
    <row r="24" spans="1:17" s="74" customFormat="1" ht="15" customHeight="1" x14ac:dyDescent="0.2">
      <c r="A24" s="10"/>
      <c r="B24" s="11"/>
      <c r="C24" s="11"/>
      <c r="D24" s="11"/>
      <c r="E24" s="11"/>
      <c r="F24" s="11"/>
      <c r="G24" s="12"/>
      <c r="H24" s="12"/>
      <c r="I24" s="12"/>
      <c r="J24" s="12"/>
      <c r="K24" s="98" t="str">
        <f t="shared" si="4"/>
        <v xml:space="preserve"> </v>
      </c>
      <c r="L24" s="101" t="str">
        <f t="shared" si="2"/>
        <v xml:space="preserve"> </v>
      </c>
      <c r="M24" s="77"/>
      <c r="N24" s="51" t="s">
        <v>73</v>
      </c>
      <c r="O24" s="54"/>
      <c r="P24" s="54"/>
      <c r="Q24" s="55"/>
    </row>
    <row r="25" spans="1:17" s="74" customFormat="1" ht="15" customHeight="1" x14ac:dyDescent="0.2">
      <c r="A25" s="10"/>
      <c r="B25" s="11"/>
      <c r="C25" s="11"/>
      <c r="D25" s="11"/>
      <c r="E25" s="11"/>
      <c r="F25" s="11"/>
      <c r="G25" s="12"/>
      <c r="H25" s="12"/>
      <c r="I25" s="12"/>
      <c r="J25" s="12"/>
      <c r="K25" s="98" t="str">
        <f t="shared" si="4"/>
        <v xml:space="preserve"> </v>
      </c>
      <c r="L25" s="101" t="str">
        <f t="shared" si="2"/>
        <v xml:space="preserve"> </v>
      </c>
      <c r="M25" s="77"/>
      <c r="N25" s="56" t="s">
        <v>74</v>
      </c>
      <c r="O25" s="54"/>
      <c r="P25" s="54"/>
      <c r="Q25" s="55"/>
    </row>
    <row r="26" spans="1:17" s="74" customFormat="1" ht="15" customHeight="1" x14ac:dyDescent="0.2">
      <c r="A26" s="10"/>
      <c r="B26" s="11"/>
      <c r="C26" s="11"/>
      <c r="D26" s="11"/>
      <c r="E26" s="11"/>
      <c r="F26" s="11"/>
      <c r="G26" s="12"/>
      <c r="H26" s="12"/>
      <c r="I26" s="12"/>
      <c r="J26" s="12"/>
      <c r="K26" s="98" t="str">
        <f t="shared" si="4"/>
        <v xml:space="preserve"> </v>
      </c>
      <c r="L26" s="101" t="str">
        <f t="shared" si="2"/>
        <v xml:space="preserve"> </v>
      </c>
      <c r="M26" s="77"/>
      <c r="N26" s="53" t="s">
        <v>102</v>
      </c>
      <c r="O26" s="54"/>
      <c r="P26" s="54"/>
      <c r="Q26" s="55"/>
    </row>
    <row r="27" spans="1:17" s="74" customFormat="1" ht="15" customHeight="1" x14ac:dyDescent="0.2">
      <c r="A27" s="10"/>
      <c r="B27" s="11"/>
      <c r="C27" s="11"/>
      <c r="D27" s="11"/>
      <c r="E27" s="11"/>
      <c r="F27" s="11"/>
      <c r="G27" s="12"/>
      <c r="H27" s="12"/>
      <c r="I27" s="12"/>
      <c r="J27" s="12"/>
      <c r="K27" s="98" t="str">
        <f t="shared" si="4"/>
        <v xml:space="preserve"> </v>
      </c>
      <c r="L27" s="101" t="str">
        <f t="shared" si="2"/>
        <v xml:space="preserve"> </v>
      </c>
      <c r="M27" s="77"/>
      <c r="N27" s="56"/>
      <c r="O27" s="54"/>
      <c r="P27" s="54"/>
      <c r="Q27" s="55"/>
    </row>
    <row r="28" spans="1:17" s="74" customFormat="1" ht="15" customHeight="1" x14ac:dyDescent="0.2">
      <c r="A28" s="10"/>
      <c r="B28" s="11"/>
      <c r="C28" s="11"/>
      <c r="D28" s="11"/>
      <c r="E28" s="11"/>
      <c r="F28" s="11"/>
      <c r="G28" s="12"/>
      <c r="H28" s="12"/>
      <c r="I28" s="12"/>
      <c r="J28" s="12"/>
      <c r="K28" s="98" t="str">
        <f t="shared" si="4"/>
        <v xml:space="preserve"> </v>
      </c>
      <c r="L28" s="101" t="str">
        <f t="shared" si="2"/>
        <v xml:space="preserve"> </v>
      </c>
      <c r="M28" s="77"/>
      <c r="N28" s="77"/>
      <c r="O28" s="77"/>
      <c r="P28" s="77"/>
      <c r="Q28" s="86"/>
    </row>
    <row r="29" spans="1:17" s="74" customFormat="1" ht="15" customHeight="1" x14ac:dyDescent="0.2">
      <c r="A29" s="10"/>
      <c r="B29" s="11"/>
      <c r="C29" s="11"/>
      <c r="D29" s="11"/>
      <c r="E29" s="11"/>
      <c r="F29" s="11"/>
      <c r="G29" s="12"/>
      <c r="H29" s="12"/>
      <c r="I29" s="12"/>
      <c r="J29" s="12"/>
      <c r="K29" s="98" t="str">
        <f t="shared" si="4"/>
        <v xml:space="preserve"> </v>
      </c>
      <c r="L29" s="101" t="str">
        <f t="shared" si="2"/>
        <v xml:space="preserve"> </v>
      </c>
      <c r="M29" s="77"/>
      <c r="N29" s="84"/>
      <c r="O29" s="72"/>
      <c r="P29" s="72"/>
      <c r="Q29" s="70"/>
    </row>
    <row r="30" spans="1:17" s="74" customFormat="1" ht="15" customHeight="1" x14ac:dyDescent="0.2">
      <c r="A30" s="10"/>
      <c r="B30" s="11"/>
      <c r="C30" s="11"/>
      <c r="D30" s="11"/>
      <c r="E30" s="11"/>
      <c r="F30" s="11"/>
      <c r="G30" s="12"/>
      <c r="H30" s="12"/>
      <c r="I30" s="12"/>
      <c r="J30" s="12"/>
      <c r="K30" s="98" t="str">
        <f t="shared" si="4"/>
        <v xml:space="preserve"> </v>
      </c>
      <c r="L30" s="101" t="str">
        <f t="shared" si="2"/>
        <v xml:space="preserve"> </v>
      </c>
      <c r="M30" s="77"/>
      <c r="N30" s="71" t="s">
        <v>65</v>
      </c>
      <c r="O30" s="69"/>
      <c r="P30" s="69"/>
      <c r="Q30" s="70"/>
    </row>
    <row r="31" spans="1:17" s="74" customFormat="1" ht="15" customHeight="1" x14ac:dyDescent="0.2">
      <c r="A31" s="10"/>
      <c r="B31" s="11"/>
      <c r="C31" s="11"/>
      <c r="D31" s="11"/>
      <c r="E31" s="11"/>
      <c r="F31" s="11"/>
      <c r="G31" s="12"/>
      <c r="H31" s="12"/>
      <c r="I31" s="12"/>
      <c r="J31" s="12"/>
      <c r="K31" s="98" t="str">
        <f t="shared" si="4"/>
        <v xml:space="preserve"> </v>
      </c>
      <c r="L31" s="101" t="str">
        <f t="shared" si="2"/>
        <v xml:space="preserve"> </v>
      </c>
      <c r="M31" s="77"/>
      <c r="N31" s="71" t="s">
        <v>64</v>
      </c>
      <c r="O31" s="72"/>
      <c r="P31" s="72"/>
      <c r="Q31" s="70"/>
    </row>
    <row r="32" spans="1:17" s="74" customFormat="1" ht="15" customHeight="1" x14ac:dyDescent="0.2">
      <c r="A32" s="10"/>
      <c r="B32" s="11"/>
      <c r="C32" s="11"/>
      <c r="D32" s="11"/>
      <c r="E32" s="11"/>
      <c r="F32" s="11"/>
      <c r="G32" s="12"/>
      <c r="H32" s="12"/>
      <c r="I32" s="12"/>
      <c r="J32" s="12"/>
      <c r="K32" s="98" t="str">
        <f t="shared" si="4"/>
        <v xml:space="preserve"> </v>
      </c>
      <c r="L32" s="101" t="str">
        <f t="shared" si="2"/>
        <v xml:space="preserve"> </v>
      </c>
      <c r="M32" s="77"/>
      <c r="N32" s="71" t="s">
        <v>67</v>
      </c>
      <c r="O32" s="72"/>
      <c r="P32" s="72"/>
      <c r="Q32" s="70"/>
    </row>
    <row r="33" spans="1:17" s="74" customFormat="1" ht="15" customHeight="1" x14ac:dyDescent="0.2">
      <c r="A33" s="10"/>
      <c r="B33" s="11"/>
      <c r="C33" s="11"/>
      <c r="D33" s="11"/>
      <c r="E33" s="11"/>
      <c r="F33" s="11"/>
      <c r="G33" s="12"/>
      <c r="H33" s="12"/>
      <c r="I33" s="12"/>
      <c r="J33" s="12"/>
      <c r="K33" s="98" t="str">
        <f t="shared" si="4"/>
        <v xml:space="preserve"> </v>
      </c>
      <c r="L33" s="101" t="str">
        <f t="shared" si="2"/>
        <v xml:space="preserve"> </v>
      </c>
      <c r="M33" s="77"/>
      <c r="N33" s="71" t="s">
        <v>68</v>
      </c>
      <c r="O33" s="72"/>
      <c r="P33" s="72"/>
      <c r="Q33" s="70"/>
    </row>
    <row r="34" spans="1:17" s="74" customFormat="1" ht="15" customHeight="1" x14ac:dyDescent="0.2">
      <c r="A34" s="10"/>
      <c r="B34" s="11"/>
      <c r="C34" s="11"/>
      <c r="D34" s="11"/>
      <c r="E34" s="11"/>
      <c r="F34" s="11"/>
      <c r="G34" s="12"/>
      <c r="H34" s="12"/>
      <c r="I34" s="12"/>
      <c r="J34" s="12"/>
      <c r="K34" s="98" t="str">
        <f t="shared" si="4"/>
        <v xml:space="preserve"> </v>
      </c>
      <c r="L34" s="101" t="str">
        <f t="shared" si="2"/>
        <v xml:space="preserve"> </v>
      </c>
      <c r="M34" s="77"/>
      <c r="N34" s="71" t="s">
        <v>82</v>
      </c>
      <c r="O34" s="72"/>
      <c r="P34" s="72"/>
      <c r="Q34" s="70"/>
    </row>
    <row r="35" spans="1:17" s="74" customFormat="1" ht="12.75" customHeight="1" x14ac:dyDescent="0.2">
      <c r="A35" s="10"/>
      <c r="B35" s="11"/>
      <c r="C35" s="11"/>
      <c r="D35" s="11"/>
      <c r="E35" s="11"/>
      <c r="F35" s="11"/>
      <c r="G35" s="12"/>
      <c r="H35" s="12"/>
      <c r="I35" s="12"/>
      <c r="J35" s="12"/>
      <c r="K35" s="98" t="str">
        <f t="shared" si="4"/>
        <v xml:space="preserve"> </v>
      </c>
      <c r="L35" s="101" t="str">
        <f t="shared" si="2"/>
        <v xml:space="preserve"> </v>
      </c>
      <c r="M35" s="77"/>
      <c r="N35" s="71"/>
      <c r="O35" s="72"/>
      <c r="P35" s="72"/>
      <c r="Q35" s="70"/>
    </row>
    <row r="36" spans="1:17" ht="3.75" customHeight="1" x14ac:dyDescent="0.2">
      <c r="A36" s="10"/>
      <c r="B36" s="11"/>
      <c r="C36" s="11"/>
      <c r="D36" s="11"/>
      <c r="E36" s="11"/>
      <c r="F36" s="11"/>
      <c r="G36" s="12"/>
      <c r="H36" s="12"/>
      <c r="I36" s="12"/>
      <c r="J36" s="12"/>
      <c r="K36" s="77"/>
      <c r="L36" s="75"/>
      <c r="M36" s="75"/>
      <c r="N36" s="75"/>
      <c r="O36" s="77"/>
      <c r="P36" s="77"/>
      <c r="Q36" s="86"/>
    </row>
    <row r="37" spans="1:17" ht="3.75" customHeight="1" thickBot="1" x14ac:dyDescent="0.25">
      <c r="A37" s="20"/>
      <c r="B37" s="15"/>
      <c r="C37" s="15"/>
      <c r="D37" s="15"/>
      <c r="E37" s="15"/>
      <c r="F37" s="15"/>
      <c r="G37" s="16"/>
      <c r="H37" s="16"/>
      <c r="I37" s="16"/>
      <c r="J37" s="16"/>
      <c r="K37" s="85"/>
      <c r="L37" s="85"/>
      <c r="M37" s="85"/>
      <c r="N37" s="85"/>
      <c r="O37" s="85"/>
      <c r="P37" s="85"/>
      <c r="Q37" s="76"/>
    </row>
    <row r="38" spans="1:17" ht="13.5" thickTop="1" x14ac:dyDescent="0.2"/>
    <row r="40" spans="1:17" x14ac:dyDescent="0.2">
      <c r="F40" s="14"/>
    </row>
    <row r="206" spans="1:6" ht="15.75" x14ac:dyDescent="0.25">
      <c r="A206" s="1"/>
      <c r="B206" s="1"/>
      <c r="C206" s="1"/>
      <c r="D206" s="1"/>
      <c r="E206" s="1"/>
      <c r="F206" s="1"/>
    </row>
    <row r="237" spans="1:1" x14ac:dyDescent="0.2">
      <c r="A237" s="2" t="s">
        <v>0</v>
      </c>
    </row>
  </sheetData>
  <mergeCells count="2">
    <mergeCell ref="A1:I1"/>
    <mergeCell ref="N2:Q3"/>
  </mergeCells>
  <phoneticPr fontId="2" type="noConversion"/>
  <conditionalFormatting sqref="H9">
    <cfRule type="cellIs" dxfId="6" priority="17" stopIfTrue="1" operator="between">
      <formula>0</formula>
      <formula>1</formula>
    </cfRule>
    <cfRule type="containsText" dxfId="5" priority="18" stopIfTrue="1" operator="containsText" text="Not Likely">
      <formula>NOT(ISERROR(SEARCH("Not Likely",H9)))</formula>
    </cfRule>
    <cfRule type="containsText" dxfId="4" priority="19" stopIfTrue="1" operator="containsText" text="Likely">
      <formula>NOT(ISERROR(SEARCH("Likely",H9)))</formula>
    </cfRule>
  </conditionalFormatting>
  <conditionalFormatting sqref="I11">
    <cfRule type="expression" dxfId="3" priority="4">
      <formula xml:space="preserve"> I11&gt;0.5</formula>
    </cfRule>
  </conditionalFormatting>
  <conditionalFormatting sqref="I12">
    <cfRule type="expression" dxfId="2" priority="3">
      <formula xml:space="preserve"> AND(ISNUMBER(I12), I12 &gt; 0.5)</formula>
    </cfRule>
  </conditionalFormatting>
  <conditionalFormatting sqref="H12">
    <cfRule type="cellIs" dxfId="1" priority="2" operator="equal">
      <formula>"IP Too Large"</formula>
    </cfRule>
  </conditionalFormatting>
  <conditionalFormatting sqref="H7">
    <cfRule type="expression" dxfId="0" priority="1">
      <formula xml:space="preserve"> H7 &gt; (F3 - H6)</formula>
    </cfRule>
  </conditionalFormatting>
  <pageMargins left="0.75" right="0.75" top="1" bottom="1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0"/>
  <sheetViews>
    <sheetView topLeftCell="A19" zoomScale="125" zoomScaleNormal="125" workbookViewId="0">
      <selection activeCell="M41" sqref="M41"/>
    </sheetView>
  </sheetViews>
  <sheetFormatPr defaultRowHeight="12.75" x14ac:dyDescent="0.2"/>
  <cols>
    <col min="9" max="9" width="10.5703125" customWidth="1"/>
  </cols>
  <sheetData>
    <row r="1" spans="1:9" ht="13.5" thickTop="1" x14ac:dyDescent="0.2">
      <c r="A1" s="137" t="s">
        <v>83</v>
      </c>
      <c r="B1" s="138"/>
      <c r="C1" s="138"/>
      <c r="D1" s="138"/>
      <c r="E1" s="138"/>
      <c r="F1" s="138"/>
      <c r="G1" s="138"/>
      <c r="H1" s="138"/>
      <c r="I1" s="139"/>
    </row>
    <row r="2" spans="1:9" x14ac:dyDescent="0.2">
      <c r="A2" s="140"/>
      <c r="B2" s="141"/>
      <c r="C2" s="141"/>
      <c r="D2" s="141"/>
      <c r="E2" s="141"/>
      <c r="F2" s="141"/>
      <c r="G2" s="141"/>
      <c r="H2" s="141"/>
      <c r="I2" s="142"/>
    </row>
    <row r="3" spans="1:9" ht="12.75" customHeight="1" thickBot="1" x14ac:dyDescent="0.25">
      <c r="A3" s="143"/>
      <c r="B3" s="144"/>
      <c r="C3" s="144"/>
      <c r="D3" s="144"/>
      <c r="E3" s="144"/>
      <c r="F3" s="144"/>
      <c r="G3" s="144"/>
      <c r="H3" s="144"/>
      <c r="I3" s="145"/>
    </row>
    <row r="4" spans="1:9" x14ac:dyDescent="0.2">
      <c r="A4" s="103"/>
      <c r="B4" s="5"/>
      <c r="C4" s="5"/>
      <c r="D4" s="5"/>
      <c r="E4" s="5"/>
      <c r="F4" s="5"/>
      <c r="G4" s="5"/>
      <c r="H4" s="5"/>
      <c r="I4" s="104"/>
    </row>
    <row r="5" spans="1:9" x14ac:dyDescent="0.2">
      <c r="A5" s="105" t="s">
        <v>3</v>
      </c>
      <c r="B5" s="6"/>
      <c r="C5" s="6"/>
      <c r="D5" s="6"/>
      <c r="E5" s="6"/>
      <c r="F5" s="6"/>
      <c r="G5" s="6"/>
      <c r="H5" s="6"/>
      <c r="I5" s="106"/>
    </row>
    <row r="6" spans="1:9" x14ac:dyDescent="0.2">
      <c r="A6" s="105" t="s">
        <v>11</v>
      </c>
      <c r="B6" s="6"/>
      <c r="C6" s="6"/>
      <c r="D6" s="6"/>
      <c r="E6" s="6"/>
      <c r="F6" s="6"/>
      <c r="G6" s="6"/>
      <c r="H6" s="6"/>
      <c r="I6" s="106"/>
    </row>
    <row r="7" spans="1:9" x14ac:dyDescent="0.2">
      <c r="A7" s="105" t="s">
        <v>5</v>
      </c>
      <c r="B7" s="6"/>
      <c r="C7" s="6"/>
      <c r="D7" s="6"/>
      <c r="E7" s="6"/>
      <c r="F7" s="6"/>
      <c r="G7" s="6"/>
      <c r="H7" s="6"/>
      <c r="I7" s="106"/>
    </row>
    <row r="8" spans="1:9" x14ac:dyDescent="0.2">
      <c r="A8" s="105"/>
      <c r="B8" s="6"/>
      <c r="C8" s="6"/>
      <c r="D8" s="6"/>
      <c r="E8" s="6"/>
      <c r="F8" s="6"/>
      <c r="G8" s="6"/>
      <c r="H8" s="6"/>
      <c r="I8" s="106"/>
    </row>
    <row r="9" spans="1:9" x14ac:dyDescent="0.2">
      <c r="A9" s="107" t="s">
        <v>31</v>
      </c>
      <c r="B9" s="6"/>
      <c r="C9" s="6"/>
      <c r="D9" s="6"/>
      <c r="E9" s="6"/>
      <c r="F9" s="6"/>
      <c r="G9" s="6"/>
      <c r="H9" s="6"/>
      <c r="I9" s="106"/>
    </row>
    <row r="10" spans="1:9" x14ac:dyDescent="0.2">
      <c r="A10" s="107" t="s">
        <v>84</v>
      </c>
      <c r="B10" s="6"/>
      <c r="C10" s="6"/>
      <c r="D10" s="6"/>
      <c r="E10" s="6"/>
      <c r="F10" s="6"/>
      <c r="G10" s="6"/>
      <c r="H10" s="6"/>
      <c r="I10" s="106"/>
    </row>
    <row r="11" spans="1:9" x14ac:dyDescent="0.2">
      <c r="A11" s="107" t="s">
        <v>85</v>
      </c>
      <c r="B11" s="6"/>
      <c r="C11" s="6"/>
      <c r="D11" s="6"/>
      <c r="E11" s="6"/>
      <c r="F11" s="6"/>
      <c r="G11" s="6"/>
      <c r="H11" s="6"/>
      <c r="I11" s="106"/>
    </row>
    <row r="12" spans="1:9" x14ac:dyDescent="0.2">
      <c r="A12" s="107" t="s">
        <v>16</v>
      </c>
      <c r="B12" s="6"/>
      <c r="C12" s="6"/>
      <c r="D12" s="6"/>
      <c r="E12" s="6"/>
      <c r="F12" s="6"/>
      <c r="G12" s="6"/>
      <c r="H12" s="6"/>
      <c r="I12" s="106"/>
    </row>
    <row r="13" spans="1:9" x14ac:dyDescent="0.2">
      <c r="A13" s="107" t="s">
        <v>17</v>
      </c>
      <c r="B13" s="6"/>
      <c r="C13" s="6"/>
      <c r="D13" s="6"/>
      <c r="E13" s="6"/>
      <c r="F13" s="6"/>
      <c r="G13" s="6"/>
      <c r="H13" s="6"/>
      <c r="I13" s="106"/>
    </row>
    <row r="14" spans="1:9" x14ac:dyDescent="0.2">
      <c r="A14" s="107" t="s">
        <v>18</v>
      </c>
      <c r="B14" s="6"/>
      <c r="C14" s="6"/>
      <c r="D14" s="6"/>
      <c r="E14" s="6"/>
      <c r="F14" s="6"/>
      <c r="G14" s="6"/>
      <c r="H14" s="6"/>
      <c r="I14" s="106"/>
    </row>
    <row r="15" spans="1:9" x14ac:dyDescent="0.2">
      <c r="A15" s="107" t="s">
        <v>20</v>
      </c>
      <c r="B15" s="6"/>
      <c r="C15" s="6"/>
      <c r="D15" s="6"/>
      <c r="E15" s="6"/>
      <c r="F15" s="6"/>
      <c r="G15" s="6"/>
      <c r="H15" s="6"/>
      <c r="I15" s="106"/>
    </row>
    <row r="16" spans="1:9" x14ac:dyDescent="0.2">
      <c r="A16" s="107" t="s">
        <v>19</v>
      </c>
      <c r="B16" s="6"/>
      <c r="C16" s="6"/>
      <c r="D16" s="6"/>
      <c r="E16" s="6"/>
      <c r="F16" s="6"/>
      <c r="G16" s="6"/>
      <c r="H16" s="6"/>
      <c r="I16" s="106"/>
    </row>
    <row r="17" spans="1:19" x14ac:dyDescent="0.2">
      <c r="A17" s="105"/>
      <c r="B17" s="6"/>
      <c r="C17" s="6"/>
      <c r="D17" s="6"/>
      <c r="E17" s="6"/>
      <c r="F17" s="6"/>
      <c r="G17" s="6"/>
      <c r="H17" s="6"/>
      <c r="I17" s="106"/>
    </row>
    <row r="18" spans="1:19" x14ac:dyDescent="0.2">
      <c r="A18" s="105" t="s">
        <v>12</v>
      </c>
      <c r="B18" s="6"/>
      <c r="C18" s="6"/>
      <c r="D18" s="6"/>
      <c r="E18" s="6"/>
      <c r="F18" s="6"/>
      <c r="G18" s="6"/>
      <c r="H18" s="6"/>
      <c r="I18" s="106"/>
    </row>
    <row r="19" spans="1:19" x14ac:dyDescent="0.2">
      <c r="A19" s="107" t="s">
        <v>86</v>
      </c>
      <c r="B19" s="6"/>
      <c r="C19" s="6"/>
      <c r="D19" s="6"/>
      <c r="E19" s="6"/>
      <c r="F19" s="6"/>
      <c r="G19" s="6"/>
      <c r="H19" s="6"/>
      <c r="I19" s="106"/>
    </row>
    <row r="20" spans="1:19" x14ac:dyDescent="0.2">
      <c r="A20" s="107" t="s">
        <v>87</v>
      </c>
      <c r="B20" s="6"/>
      <c r="C20" s="6"/>
      <c r="D20" s="6"/>
      <c r="E20" s="6"/>
      <c r="F20" s="6"/>
      <c r="G20" s="6"/>
      <c r="H20" s="6"/>
      <c r="I20" s="106"/>
    </row>
    <row r="21" spans="1:19" x14ac:dyDescent="0.2">
      <c r="A21" s="107" t="s">
        <v>89</v>
      </c>
      <c r="B21" s="6"/>
      <c r="C21" s="6"/>
      <c r="D21" s="6"/>
      <c r="E21" s="6"/>
      <c r="F21" s="6"/>
      <c r="G21" s="6"/>
      <c r="H21" s="6"/>
      <c r="I21" s="106"/>
    </row>
    <row r="22" spans="1:19" x14ac:dyDescent="0.2">
      <c r="A22" s="107" t="s">
        <v>88</v>
      </c>
      <c r="B22" s="6"/>
      <c r="C22" s="6"/>
      <c r="D22" s="6"/>
      <c r="E22" s="6"/>
      <c r="F22" s="6"/>
      <c r="G22" s="6"/>
      <c r="H22" s="6"/>
      <c r="I22" s="106"/>
    </row>
    <row r="23" spans="1:19" x14ac:dyDescent="0.2">
      <c r="A23" s="105"/>
      <c r="B23" s="6"/>
      <c r="C23" s="6"/>
      <c r="D23" s="6"/>
      <c r="E23" s="6"/>
      <c r="F23" s="6"/>
      <c r="G23" s="6"/>
      <c r="H23" s="6"/>
      <c r="I23" s="106"/>
    </row>
    <row r="24" spans="1:19" x14ac:dyDescent="0.2">
      <c r="A24" s="105" t="s">
        <v>13</v>
      </c>
      <c r="B24" s="6"/>
      <c r="C24" s="6"/>
      <c r="D24" s="6"/>
      <c r="E24" s="6"/>
      <c r="F24" s="6"/>
      <c r="G24" s="6"/>
      <c r="H24" s="6"/>
      <c r="I24" s="106"/>
    </row>
    <row r="25" spans="1:19" x14ac:dyDescent="0.2">
      <c r="A25" s="105" t="s">
        <v>4</v>
      </c>
      <c r="B25" s="6"/>
      <c r="C25" s="6"/>
      <c r="D25" s="6"/>
      <c r="E25" s="6"/>
      <c r="F25" s="6"/>
      <c r="G25" s="6"/>
      <c r="H25" s="6"/>
      <c r="I25" s="106"/>
    </row>
    <row r="26" spans="1:19" x14ac:dyDescent="0.2">
      <c r="A26" s="107" t="s">
        <v>23</v>
      </c>
      <c r="B26" s="6"/>
      <c r="C26" s="6"/>
      <c r="D26" s="6"/>
      <c r="E26" s="6"/>
      <c r="F26" s="6"/>
      <c r="G26" s="6"/>
      <c r="H26" s="6"/>
      <c r="I26" s="106"/>
    </row>
    <row r="27" spans="1:19" x14ac:dyDescent="0.2">
      <c r="A27" s="107" t="s">
        <v>91</v>
      </c>
      <c r="B27" s="6"/>
      <c r="C27" s="6"/>
      <c r="D27" s="6"/>
      <c r="E27" s="6"/>
      <c r="F27" s="6"/>
      <c r="G27" s="6"/>
      <c r="H27" s="6"/>
      <c r="I27" s="106"/>
    </row>
    <row r="28" spans="1:19" x14ac:dyDescent="0.2">
      <c r="A28" s="107" t="s">
        <v>90</v>
      </c>
      <c r="B28" s="6"/>
      <c r="C28" s="6"/>
      <c r="D28" s="6"/>
      <c r="E28" s="6"/>
      <c r="F28" s="6"/>
      <c r="G28" s="6"/>
      <c r="H28" s="6"/>
      <c r="I28" s="106"/>
    </row>
    <row r="29" spans="1:19" x14ac:dyDescent="0.2">
      <c r="A29" s="108"/>
      <c r="B29" s="102"/>
      <c r="C29" s="102"/>
      <c r="D29" s="102"/>
      <c r="E29" s="102"/>
      <c r="F29" s="102"/>
      <c r="G29" s="102"/>
      <c r="H29" s="102"/>
      <c r="I29" s="109"/>
    </row>
    <row r="30" spans="1:19" x14ac:dyDescent="0.2">
      <c r="A30" s="110" t="s">
        <v>92</v>
      </c>
      <c r="B30" s="102"/>
      <c r="C30" s="102"/>
      <c r="D30" s="102"/>
      <c r="E30" s="102"/>
      <c r="F30" s="102"/>
      <c r="G30" s="102"/>
      <c r="H30" s="102"/>
      <c r="I30" s="109"/>
    </row>
    <row r="31" spans="1:19" x14ac:dyDescent="0.2">
      <c r="A31" s="110" t="s">
        <v>93</v>
      </c>
      <c r="B31" s="102"/>
      <c r="C31" s="102"/>
      <c r="D31" s="102"/>
      <c r="E31" s="102"/>
      <c r="F31" s="102"/>
      <c r="G31" s="102"/>
      <c r="H31" s="102"/>
      <c r="I31" s="109"/>
      <c r="K31" s="111"/>
      <c r="L31" s="112"/>
      <c r="M31" s="112"/>
      <c r="N31" s="112"/>
      <c r="O31" s="112"/>
      <c r="P31" s="112"/>
      <c r="Q31" s="112"/>
      <c r="R31" s="112"/>
      <c r="S31" s="112"/>
    </row>
    <row r="32" spans="1:19" x14ac:dyDescent="0.2">
      <c r="A32" s="110" t="s">
        <v>94</v>
      </c>
      <c r="B32" s="102"/>
      <c r="C32" s="102"/>
      <c r="D32" s="102"/>
      <c r="E32" s="102"/>
      <c r="F32" s="102"/>
      <c r="G32" s="102"/>
      <c r="H32" s="102"/>
      <c r="I32" s="109"/>
      <c r="K32" s="111"/>
      <c r="L32" s="112"/>
      <c r="M32" s="112"/>
      <c r="N32" s="112"/>
      <c r="O32" s="112"/>
      <c r="P32" s="112"/>
      <c r="Q32" s="112"/>
      <c r="R32" s="112"/>
      <c r="S32" s="112"/>
    </row>
    <row r="33" spans="1:19" x14ac:dyDescent="0.2">
      <c r="A33" s="110" t="s">
        <v>95</v>
      </c>
      <c r="B33" s="102"/>
      <c r="C33" s="102"/>
      <c r="D33" s="102"/>
      <c r="E33" s="102"/>
      <c r="F33" s="102"/>
      <c r="G33" s="102"/>
      <c r="H33" s="102"/>
      <c r="I33" s="109"/>
      <c r="K33" s="111"/>
      <c r="L33" s="112"/>
      <c r="M33" s="112"/>
      <c r="N33" s="112"/>
      <c r="O33" s="112"/>
      <c r="P33" s="112"/>
      <c r="Q33" s="112"/>
      <c r="R33" s="112"/>
      <c r="S33" s="112"/>
    </row>
    <row r="34" spans="1:19" x14ac:dyDescent="0.2">
      <c r="A34" s="110" t="s">
        <v>104</v>
      </c>
      <c r="B34" s="102"/>
      <c r="C34" s="102"/>
      <c r="D34" s="102"/>
      <c r="E34" s="102"/>
      <c r="F34" s="102"/>
      <c r="G34" s="102"/>
      <c r="H34" s="102"/>
      <c r="I34" s="109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x14ac:dyDescent="0.2">
      <c r="A35" s="110" t="s">
        <v>106</v>
      </c>
      <c r="B35" s="102"/>
      <c r="C35" s="102"/>
      <c r="D35" s="102"/>
      <c r="E35" s="102"/>
      <c r="F35" s="102"/>
      <c r="G35" s="102"/>
      <c r="H35" s="102"/>
      <c r="I35" s="109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x14ac:dyDescent="0.2">
      <c r="A36" s="110" t="s">
        <v>105</v>
      </c>
      <c r="B36" s="102"/>
      <c r="C36" s="102"/>
      <c r="D36" s="102"/>
      <c r="E36" s="102"/>
      <c r="F36" s="102"/>
      <c r="G36" s="102"/>
      <c r="H36" s="102"/>
      <c r="I36" s="109"/>
      <c r="K36" s="111"/>
      <c r="L36" s="112"/>
      <c r="M36" s="112"/>
      <c r="N36" s="112"/>
      <c r="O36" s="112"/>
      <c r="P36" s="112"/>
      <c r="Q36" s="112"/>
      <c r="R36" s="112"/>
      <c r="S36" s="112"/>
    </row>
    <row r="37" spans="1:19" x14ac:dyDescent="0.2">
      <c r="A37" s="108"/>
      <c r="B37" s="102"/>
      <c r="C37" s="102"/>
      <c r="D37" s="102"/>
      <c r="E37" s="102"/>
      <c r="F37" s="102"/>
      <c r="G37" s="102"/>
      <c r="H37" s="102"/>
      <c r="I37" s="109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x14ac:dyDescent="0.2">
      <c r="A38" s="110" t="s">
        <v>96</v>
      </c>
      <c r="B38" s="102"/>
      <c r="C38" s="102"/>
      <c r="D38" s="102"/>
      <c r="E38" s="102"/>
      <c r="F38" s="102"/>
      <c r="G38" s="102"/>
      <c r="H38" s="102"/>
      <c r="I38" s="109"/>
      <c r="K38" s="111"/>
      <c r="L38" s="112"/>
      <c r="M38" s="112"/>
      <c r="N38" s="112"/>
      <c r="O38" s="112"/>
      <c r="P38" s="112"/>
      <c r="Q38" s="112"/>
      <c r="R38" s="112"/>
      <c r="S38" s="112"/>
    </row>
    <row r="39" spans="1:19" x14ac:dyDescent="0.2">
      <c r="A39" s="108" t="s">
        <v>97</v>
      </c>
      <c r="B39" s="102"/>
      <c r="C39" s="102"/>
      <c r="D39" s="102"/>
      <c r="E39" s="102"/>
      <c r="F39" s="102"/>
      <c r="G39" s="102"/>
      <c r="H39" s="102"/>
      <c r="I39" s="109"/>
    </row>
    <row r="40" spans="1:19" x14ac:dyDescent="0.2">
      <c r="A40" s="110" t="s">
        <v>101</v>
      </c>
      <c r="B40" s="102"/>
      <c r="C40" s="102"/>
      <c r="D40" s="102"/>
      <c r="E40" s="102"/>
      <c r="F40" s="102"/>
      <c r="G40" s="102"/>
      <c r="H40" s="102"/>
      <c r="I40" s="109"/>
    </row>
    <row r="41" spans="1:19" x14ac:dyDescent="0.2">
      <c r="A41" s="110" t="s">
        <v>107</v>
      </c>
      <c r="B41" s="102"/>
      <c r="C41" s="102"/>
      <c r="D41" s="102"/>
      <c r="E41" s="102"/>
      <c r="F41" s="102"/>
      <c r="G41" s="102"/>
      <c r="H41" s="102"/>
      <c r="I41" s="109"/>
    </row>
    <row r="42" spans="1:19" x14ac:dyDescent="0.2">
      <c r="A42" s="108" t="s">
        <v>108</v>
      </c>
      <c r="B42" s="102"/>
      <c r="C42" s="102"/>
      <c r="D42" s="102"/>
      <c r="E42" s="102"/>
      <c r="F42" s="102"/>
      <c r="G42" s="102"/>
      <c r="H42" s="102"/>
      <c r="I42" s="109"/>
    </row>
    <row r="43" spans="1:19" x14ac:dyDescent="0.2">
      <c r="A43" s="110" t="s">
        <v>109</v>
      </c>
      <c r="B43" s="102"/>
      <c r="C43" s="102"/>
      <c r="D43" s="102"/>
      <c r="E43" s="102"/>
      <c r="F43" s="102"/>
      <c r="G43" s="102"/>
      <c r="H43" s="102"/>
      <c r="I43" s="109"/>
    </row>
    <row r="44" spans="1:19" x14ac:dyDescent="0.2">
      <c r="A44" s="108"/>
      <c r="B44" s="102"/>
      <c r="C44" s="102"/>
      <c r="D44" s="102"/>
      <c r="E44" s="102"/>
      <c r="F44" s="102"/>
      <c r="G44" s="102"/>
      <c r="H44" s="102"/>
      <c r="I44" s="109"/>
    </row>
    <row r="45" spans="1:19" x14ac:dyDescent="0.2">
      <c r="A45" s="110" t="s">
        <v>110</v>
      </c>
      <c r="B45" s="102"/>
      <c r="C45" s="102"/>
      <c r="D45" s="102"/>
      <c r="E45" s="102"/>
      <c r="F45" s="102"/>
      <c r="G45" s="102"/>
      <c r="H45" s="102"/>
      <c r="I45" s="109"/>
    </row>
    <row r="46" spans="1:19" x14ac:dyDescent="0.2">
      <c r="A46" s="110" t="s">
        <v>111</v>
      </c>
      <c r="B46" s="102"/>
      <c r="C46" s="102"/>
      <c r="D46" s="102"/>
      <c r="E46" s="102"/>
      <c r="F46" s="102"/>
      <c r="G46" s="102"/>
      <c r="H46" s="102"/>
      <c r="I46" s="109"/>
    </row>
    <row r="47" spans="1:19" x14ac:dyDescent="0.2">
      <c r="A47" s="110" t="s">
        <v>112</v>
      </c>
      <c r="B47" s="102"/>
      <c r="C47" s="102"/>
      <c r="D47" s="102"/>
      <c r="E47" s="102"/>
      <c r="F47" s="102"/>
      <c r="G47" s="102"/>
      <c r="H47" s="102"/>
      <c r="I47" s="109"/>
    </row>
    <row r="48" spans="1:19" x14ac:dyDescent="0.2">
      <c r="A48" s="110" t="s">
        <v>113</v>
      </c>
      <c r="B48" s="102"/>
      <c r="C48" s="102"/>
      <c r="D48" s="102"/>
      <c r="E48" s="102"/>
      <c r="F48" s="102"/>
      <c r="G48" s="102"/>
      <c r="H48" s="102"/>
      <c r="I48" s="109"/>
    </row>
    <row r="49" spans="1:9" ht="13.5" thickBot="1" x14ac:dyDescent="0.25">
      <c r="A49" s="113"/>
      <c r="B49" s="114"/>
      <c r="C49" s="114"/>
      <c r="D49" s="114"/>
      <c r="E49" s="114"/>
      <c r="F49" s="114"/>
      <c r="G49" s="114"/>
      <c r="H49" s="114"/>
      <c r="I49" s="115"/>
    </row>
    <row r="50" spans="1:9" ht="13.5" thickTop="1" x14ac:dyDescent="0.2"/>
  </sheetData>
  <mergeCells count="1">
    <mergeCell ref="A1:I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S32"/>
  <sheetViews>
    <sheetView workbookViewId="0">
      <selection activeCell="U29" sqref="U29"/>
    </sheetView>
  </sheetViews>
  <sheetFormatPr defaultRowHeight="12.75" x14ac:dyDescent="0.2"/>
  <sheetData>
    <row r="1" spans="2:19" ht="20.25" x14ac:dyDescent="0.3">
      <c r="C1" s="22"/>
      <c r="G1" s="22" t="s">
        <v>34</v>
      </c>
    </row>
    <row r="2" spans="2:19" ht="13.5" thickBot="1" x14ac:dyDescent="0.25">
      <c r="C2" s="66"/>
    </row>
    <row r="3" spans="2:19" x14ac:dyDescent="0.2">
      <c r="B3" s="21" t="s">
        <v>42</v>
      </c>
      <c r="C3" s="23"/>
      <c r="D3" s="24"/>
      <c r="E3" s="24"/>
      <c r="F3" s="24"/>
      <c r="G3" s="24"/>
      <c r="H3" s="146" t="s">
        <v>58</v>
      </c>
      <c r="I3" s="24"/>
      <c r="J3" s="24"/>
      <c r="K3" s="24"/>
      <c r="L3" s="24"/>
      <c r="M3" s="24"/>
      <c r="N3" s="25"/>
    </row>
    <row r="4" spans="2:19" x14ac:dyDescent="0.2">
      <c r="C4" s="26"/>
      <c r="D4" s="27"/>
      <c r="E4" s="27"/>
      <c r="F4" s="27"/>
      <c r="G4" s="27"/>
      <c r="H4" s="150"/>
      <c r="I4" s="27"/>
      <c r="J4" s="27"/>
      <c r="K4" s="27"/>
      <c r="L4" s="27"/>
      <c r="M4" s="27"/>
      <c r="N4" s="28"/>
      <c r="P4" s="17" t="s">
        <v>60</v>
      </c>
    </row>
    <row r="5" spans="2:19" x14ac:dyDescent="0.2">
      <c r="C5" s="26"/>
      <c r="D5" s="27"/>
      <c r="E5" s="27"/>
      <c r="F5" s="27"/>
      <c r="G5" s="27"/>
      <c r="H5" s="150"/>
      <c r="I5" s="27"/>
      <c r="J5" s="27"/>
      <c r="K5" s="27"/>
      <c r="L5" s="27"/>
      <c r="M5" s="27"/>
      <c r="N5" s="28"/>
    </row>
    <row r="6" spans="2:19" ht="13.5" thickBot="1" x14ac:dyDescent="0.25">
      <c r="C6" s="29"/>
      <c r="D6" s="30"/>
      <c r="E6" s="30"/>
      <c r="F6" s="30"/>
      <c r="G6" s="30"/>
      <c r="H6" s="147"/>
      <c r="I6" s="30"/>
      <c r="J6" s="30"/>
      <c r="K6" s="30"/>
      <c r="L6" s="30"/>
      <c r="M6" s="30"/>
      <c r="N6" s="31"/>
    </row>
    <row r="7" spans="2:19" x14ac:dyDescent="0.2">
      <c r="B7" s="21" t="s">
        <v>35</v>
      </c>
      <c r="C7" s="34"/>
      <c r="N7" s="32">
        <v>1</v>
      </c>
    </row>
    <row r="8" spans="2:19" ht="13.5" thickBot="1" x14ac:dyDescent="0.25">
      <c r="G8" s="33"/>
    </row>
    <row r="9" spans="2:19" ht="13.5" thickBot="1" x14ac:dyDescent="0.25">
      <c r="F9" s="21" t="s">
        <v>37</v>
      </c>
      <c r="G9" s="41"/>
      <c r="H9" s="42"/>
      <c r="I9" s="42"/>
      <c r="J9" s="42"/>
      <c r="K9" s="149" t="s">
        <v>41</v>
      </c>
      <c r="L9" s="42"/>
      <c r="M9" s="42"/>
      <c r="N9" s="43"/>
      <c r="P9" s="17" t="s">
        <v>61</v>
      </c>
    </row>
    <row r="10" spans="2:19" ht="13.5" thickBot="1" x14ac:dyDescent="0.25">
      <c r="C10" s="66"/>
      <c r="E10" s="40"/>
      <c r="F10" s="148" t="s">
        <v>40</v>
      </c>
      <c r="G10" s="67"/>
      <c r="H10" s="44"/>
      <c r="I10" s="44"/>
      <c r="J10" s="44"/>
      <c r="K10" s="150"/>
      <c r="L10" s="44"/>
      <c r="M10" s="44"/>
      <c r="N10" s="45"/>
    </row>
    <row r="11" spans="2:19" ht="13.5" thickBot="1" x14ac:dyDescent="0.25">
      <c r="C11" s="37"/>
      <c r="D11" s="38"/>
      <c r="E11" s="39"/>
      <c r="F11" s="147"/>
      <c r="G11" s="68"/>
      <c r="H11" s="44"/>
      <c r="I11" s="44"/>
      <c r="J11" s="44"/>
      <c r="K11" s="147"/>
      <c r="L11" s="44"/>
      <c r="M11" s="44"/>
      <c r="N11" s="45"/>
      <c r="P11" s="17" t="s">
        <v>62</v>
      </c>
      <c r="S11" s="17" t="s">
        <v>51</v>
      </c>
    </row>
    <row r="12" spans="2:19" x14ac:dyDescent="0.2">
      <c r="B12" s="21" t="s">
        <v>36</v>
      </c>
      <c r="C12" s="23"/>
      <c r="D12" s="24"/>
      <c r="E12" s="24"/>
      <c r="F12" s="24"/>
      <c r="G12" s="35"/>
      <c r="H12" s="146" t="s">
        <v>39</v>
      </c>
      <c r="I12" s="24"/>
      <c r="J12" s="24"/>
      <c r="K12" s="24"/>
      <c r="L12" s="24"/>
      <c r="M12" s="24"/>
      <c r="N12" s="25"/>
    </row>
    <row r="13" spans="2:19" ht="13.5" thickBot="1" x14ac:dyDescent="0.25">
      <c r="C13" s="29"/>
      <c r="D13" s="30"/>
      <c r="E13" s="30"/>
      <c r="F13" s="30"/>
      <c r="G13" s="36"/>
      <c r="H13" s="147"/>
      <c r="I13" s="30"/>
      <c r="J13" s="30"/>
      <c r="K13" s="30"/>
      <c r="L13" s="30"/>
      <c r="M13" s="30"/>
      <c r="N13" s="31"/>
      <c r="P13" s="17" t="s">
        <v>63</v>
      </c>
    </row>
    <row r="14" spans="2:19" x14ac:dyDescent="0.2">
      <c r="B14" s="21" t="s">
        <v>35</v>
      </c>
      <c r="C14" s="34"/>
      <c r="F14" s="21" t="s">
        <v>38</v>
      </c>
      <c r="G14" s="34"/>
      <c r="N14" s="32">
        <v>1</v>
      </c>
    </row>
    <row r="16" spans="2:19" ht="18" x14ac:dyDescent="0.25">
      <c r="E16" s="46" t="s">
        <v>43</v>
      </c>
    </row>
    <row r="18" spans="2:10" x14ac:dyDescent="0.2">
      <c r="E18" s="17" t="s">
        <v>59</v>
      </c>
    </row>
    <row r="20" spans="2:10" x14ac:dyDescent="0.2">
      <c r="E20" s="17" t="s">
        <v>44</v>
      </c>
    </row>
    <row r="22" spans="2:10" x14ac:dyDescent="0.2">
      <c r="D22" s="17" t="s">
        <v>45</v>
      </c>
      <c r="E22" s="17" t="s">
        <v>46</v>
      </c>
    </row>
    <row r="24" spans="2:10" x14ac:dyDescent="0.2">
      <c r="E24" s="17" t="s">
        <v>47</v>
      </c>
    </row>
    <row r="26" spans="2:10" x14ac:dyDescent="0.2">
      <c r="C26" s="48" t="s">
        <v>48</v>
      </c>
      <c r="D26" s="47"/>
      <c r="E26" s="17" t="s">
        <v>49</v>
      </c>
    </row>
    <row r="28" spans="2:10" x14ac:dyDescent="0.2">
      <c r="C28" s="48" t="s">
        <v>33</v>
      </c>
      <c r="D28" s="47"/>
      <c r="E28" s="17" t="s">
        <v>50</v>
      </c>
    </row>
    <row r="30" spans="2:10" x14ac:dyDescent="0.2">
      <c r="C30" s="17" t="s">
        <v>72</v>
      </c>
      <c r="E30" s="17" t="s">
        <v>114</v>
      </c>
      <c r="J30" t="s">
        <v>116</v>
      </c>
    </row>
    <row r="32" spans="2:10" x14ac:dyDescent="0.2">
      <c r="B32" s="73" t="s">
        <v>71</v>
      </c>
      <c r="E32" t="s">
        <v>117</v>
      </c>
      <c r="J32" t="s">
        <v>115</v>
      </c>
    </row>
  </sheetData>
  <mergeCells count="4">
    <mergeCell ref="H12:H13"/>
    <mergeCell ref="F10:F11"/>
    <mergeCell ref="K9:K11"/>
    <mergeCell ref="H3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Calculator &amp; Graphs</vt:lpstr>
      <vt:lpstr>Description</vt:lpstr>
      <vt:lpstr>Derivation SPI(t)r</vt:lpstr>
      <vt:lpstr>'Calculator &amp; Graphs'!Print_Area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Lipke</dc:creator>
  <cp:lastModifiedBy>Walt Lipke</cp:lastModifiedBy>
  <cp:lastPrinted>2007-12-31T20:34:36Z</cp:lastPrinted>
  <dcterms:created xsi:type="dcterms:W3CDTF">2007-12-24T23:07:05Z</dcterms:created>
  <dcterms:modified xsi:type="dcterms:W3CDTF">2022-07-07T01:02:36Z</dcterms:modified>
</cp:coreProperties>
</file>